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1 Доходы" sheetId="2" r:id="rId2"/>
  </sheets>
  <definedNames>
    <definedName name="_xlnm.Print_Titles" localSheetId="1">'Прил 1 Доходы'!$14:$14</definedName>
  </definedNames>
  <calcPr fullCalcOnLoad="1"/>
</workbook>
</file>

<file path=xl/sharedStrings.xml><?xml version="1.0" encoding="utf-8"?>
<sst xmlns="http://schemas.openxmlformats.org/spreadsheetml/2006/main" count="215" uniqueCount="193">
  <si>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</si>
  <si>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</si>
  <si>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</si>
  <si>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</si>
  <si>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</si>
  <si>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</si>
  <si>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</si>
  <si>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</si>
  <si>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</si>
  <si>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</si>
  <si>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</si>
  <si>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</si>
  <si>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</si>
  <si>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</si>
  <si>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</si>
  <si>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</si>
  <si>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</si>
  <si>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</si>
  <si>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</si>
  <si>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</si>
  <si>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</si>
  <si>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</si>
  <si>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</si>
  <si>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</si>
  <si>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</si>
  <si>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</si>
  <si>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</si>
  <si>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</si>
  <si>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</si>
  <si>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</si>
  <si>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</si>
  <si>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</si>
  <si>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</si>
  <si>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</si>
  <si>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</si>
  <si>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</si>
  <si>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</si>
  <si>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</si>
  <si>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</si>
  <si>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</si>
  <si>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</si>
  <si>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</si>
  <si>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</si>
  <si>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</si>
  <si>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</si>
  <si>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</si>
  <si>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</si>
  <si>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</si>
  <si>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</si>
  <si>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</si>
  <si>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</si>
  <si>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</si>
  <si>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</si>
  <si>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</si>
  <si>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</si>
  <si>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</si>
  <si>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</si>
  <si>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</si>
  <si>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</si>
  <si>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</si>
  <si>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</si>
  <si>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</si>
  <si>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</si>
  <si>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</si>
  <si>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</si>
  <si>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</si>
  <si>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</si>
  <si>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</si>
  <si>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</si>
  <si>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</si>
  <si>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</si>
  <si>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</si>
  <si>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</si>
  <si>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</si>
  <si>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</si>
  <si>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</si>
  <si>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</si>
  <si>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</si>
  <si>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</si>
  <si>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</si>
  <si>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</si>
  <si>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</si>
  <si>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</si>
  <si>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</si>
  <si>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</si>
  <si>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</si>
  <si>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</si>
  <si>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</si>
  <si>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</si>
  <si>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</si>
  <si>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</si>
  <si>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</si>
  <si>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</si>
  <si>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</si>
  <si>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</si>
  <si>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</si>
  <si>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</si>
  <si>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</si>
  <si>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</si>
  <si>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</si>
  <si>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</si>
  <si>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</si>
  <si>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</si>
  <si>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</si>
  <si>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</si>
  <si>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</si>
  <si>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</si>
  <si>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</si>
  <si>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</si>
  <si>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</si>
  <si>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</si>
  <si>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</si>
  <si>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</si>
  <si>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</si>
  <si>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</si>
  <si>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</si>
  <si>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</si>
  <si>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</si>
  <si>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</si>
  <si>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</si>
  <si>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</si>
  <si>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</si>
  <si>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</si>
  <si>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041 1 11 05025 13 0000 120</t>
  </si>
  <si>
    <t>041 1 11 05035 13 0000 120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</si>
  <si>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</si>
  <si>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</si>
  <si>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</si>
  <si>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</si>
  <si>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</si>
  <si>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000 2 02 25497 00 0000 150</t>
  </si>
  <si>
    <t>Субсидии бюджетам на реализацию мероприятий по обеспечению жильем молодых семей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</si>
  <si>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</si>
  <si>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</si>
  <si>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035 2 02 25497 13 0000 150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</si>
  <si>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</si>
  <si>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</si>
  <si>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</si>
  <si>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</si>
  <si>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035 2 02 35120 13 0000 150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</si>
  <si>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</si>
  <si>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</si>
  <si>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000 2 02 30000 00 0000 150</t>
  </si>
  <si>
    <t>Субвенции бюджетам бюджетной системы Российской Федерации</t>
  </si>
  <si>
    <t>035 1 16 07090 13 0000 140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</si>
  <si>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</si>
  <si>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</si>
  <si>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</si>
  <si>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</si>
  <si>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000 1 16 00000 00 0000 000</t>
  </si>
  <si>
    <t>ШТРАФЫ, САНКЦИИ, ВОЗМЕЩЕНИЕ УЩЕРБА</t>
  </si>
  <si>
    <t>000 2 02 40000 00 0000 150</t>
  </si>
  <si>
    <t>Иные межбюджетные трансферты</t>
  </si>
  <si>
    <t>000 2 02 45424 13 0000 150</t>
  </si>
  <si>
    <t>035 2 02 45424 13 0000 150</t>
  </si>
  <si>
    <t xml:space="preserve"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</si>
  <si>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</si>
  <si>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</si>
  <si>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</si>
  <si>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</si>
  <si>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</si>
  <si>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</si>
  <si>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</si>
  <si>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БЕЗВОЗМЕЗДНЫЕ ПОСТУПЛЕНИЯ</t>
  </si>
  <si>
    <t xml:space="preserve">000 2 07 00000 00 0000 000
</t>
  </si>
  <si>
    <t xml:space="preserve">000 2 07 05000 13 0000 150
</t>
  </si>
  <si>
    <t>Прочие безвозмездные поступления в бюджеты городских поселений</t>
  </si>
  <si>
    <t xml:space="preserve">000 2 07 05030 13 0000 150
</t>
  </si>
  <si>
    <t xml:space="preserve">035 2 07 05030 13 0000 150
</t>
  </si>
  <si>
    <t>035 1 11 05035 13 0000 120</t>
  </si>
  <si>
    <t xml:space="preserve">000 2 02 49999 00 0000 150
</t>
  </si>
  <si>
    <t xml:space="preserve">000 2 02 49999 13 0000 150
</t>
  </si>
  <si>
    <t>035 2 02 49999 13 0000 150</t>
  </si>
  <si>
    <t>Прочие межбюджетные трансферты, передаваемые бюджетам городских поселений</t>
  </si>
  <si>
    <t xml:space="preserve">Прочие межбюджетные трансферты, передаваемые бюджетам </t>
  </si>
  <si>
    <t>Утверждено на год</t>
  </si>
  <si>
    <t>Процент исполнения (%)</t>
  </si>
  <si>
    <t>Приложение № 1</t>
  </si>
  <si>
    <t>к решению Совета Южского</t>
  </si>
  <si>
    <t>Южского муниципального района</t>
  </si>
  <si>
    <t>от____________________№______</t>
  </si>
  <si>
    <t>"Об утверждении отчёта об    
исполнении бюджета Южского    
городского поселения за 2020 год"</t>
  </si>
  <si>
    <t>Доходы бюджета Южского городского поселения по кодам</t>
  </si>
  <si>
    <t>классификации доходов бюджетов за 2020 год</t>
  </si>
  <si>
    <t>Решением Совета Южского городского поселения от 18.12.2019 № 69 "О бюджете Южского городского поселения на 2020 год и на плановый период 2021 и 2022 годов", (руб.)</t>
  </si>
  <si>
    <t>Решением Совета Южского городского поселения от 18.12.2019 № 69 "О бюджете Южского городского поселения на 2020 год и на плановый период 2021 и 2022 годов" с учетом изменений на отчетную дату, (руб.)</t>
  </si>
  <si>
    <t>Исполнено за 2020 год                (руб.)</t>
  </si>
  <si>
    <t>1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</si>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</sst>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0" xfId="0" applyFont="1" applyFill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vertical="top"/>
    </xf>
    <xf numFmtId="4" fontId="2" fillId="33" borderId="10" xfId="0" applyNumberFormat="1" applyFont="1" applyFill="1" applyBorder="1" applyAlignment="1">
      <alignment vertical="top"/>
    </xf>
    <xf numFmtId="0" fontId="2" fillId="33" borderId="0" xfId="0" applyFont="1" applyFill="1" applyAlignment="1">
      <alignment vertical="center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top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100">
      <selection activeCell="C86" sqref="C86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6" width="12.25390625" style="2" customWidth="1"/>
    <col min="7" max="16384" width="9.125" style="2" customWidth="1"/>
  </cols>
  <sheetData>
    <row r="1" spans="1:6" ht="18.75">
      <c r="A1" s="48" t="s">
        <v>177</v>
      </c>
      <c r="B1" s="48"/>
      <c r="C1" s="48"/>
      <c r="D1" s="48"/>
      <c r="E1" s="48"/>
      <c r="F1" s="48"/>
    </row>
    <row r="2" spans="1:6" ht="18.75">
      <c r="A2" s="48" t="s">
        <v>178</v>
      </c>
      <c r="B2" s="48"/>
      <c r="C2" s="48"/>
      <c r="D2" s="48"/>
      <c r="E2" s="48"/>
      <c r="F2" s="48"/>
    </row>
    <row r="3" spans="1:6" ht="18.75">
      <c r="A3" s="48" t="s">
        <v>26</v>
      </c>
      <c r="B3" s="48"/>
      <c r="C3" s="48"/>
      <c r="D3" s="48"/>
      <c r="E3" s="48"/>
      <c r="F3" s="48"/>
    </row>
    <row r="4" spans="1:6" ht="18.75">
      <c r="A4" s="48" t="s">
        <v>179</v>
      </c>
      <c r="B4" s="48"/>
      <c r="C4" s="48"/>
      <c r="D4" s="48"/>
      <c r="E4" s="48"/>
      <c r="F4" s="48"/>
    </row>
    <row r="5" spans="1:6" ht="57" customHeight="1">
      <c r="A5" s="48" t="s">
        <v>181</v>
      </c>
      <c r="B5" s="48"/>
      <c r="C5" s="48"/>
      <c r="D5" s="48"/>
      <c r="E5" s="48"/>
      <c r="F5" s="48"/>
    </row>
    <row r="6" spans="1:6" ht="23.25" customHeight="1">
      <c r="A6" s="48" t="s">
        <v>180</v>
      </c>
      <c r="B6" s="48"/>
      <c r="C6" s="48"/>
      <c r="D6" s="48"/>
      <c r="E6" s="48"/>
      <c r="F6" s="48"/>
    </row>
    <row r="7" spans="2:5" ht="7.5" customHeight="1">
      <c r="B7" s="50"/>
      <c r="C7" s="50"/>
      <c r="D7" s="50"/>
      <c r="E7" s="50"/>
    </row>
    <row r="8" spans="1:6" ht="18.75">
      <c r="A8" s="49" t="s">
        <v>182</v>
      </c>
      <c r="B8" s="49"/>
      <c r="C8" s="49"/>
      <c r="D8" s="49"/>
      <c r="E8" s="49"/>
      <c r="F8" s="49"/>
    </row>
    <row r="9" spans="1:6" ht="18.75">
      <c r="A9" s="49" t="s">
        <v>183</v>
      </c>
      <c r="B9" s="49"/>
      <c r="C9" s="49"/>
      <c r="D9" s="49"/>
      <c r="E9" s="49"/>
      <c r="F9" s="49"/>
    </row>
    <row r="10" spans="1:6" ht="19.5" customHeight="1">
      <c r="A10" s="52"/>
      <c r="B10" s="52"/>
      <c r="C10" s="52"/>
      <c r="D10" s="52"/>
      <c r="E10" s="52"/>
      <c r="F10" s="2" t="s">
        <v>16</v>
      </c>
    </row>
    <row r="11" spans="1:5" ht="7.5" customHeight="1">
      <c r="A11" s="37"/>
      <c r="B11" s="37"/>
      <c r="E11" s="45"/>
    </row>
    <row r="12" spans="1:6" ht="19.5" customHeight="1">
      <c r="A12" s="46" t="s">
        <v>88</v>
      </c>
      <c r="B12" s="46" t="s">
        <v>89</v>
      </c>
      <c r="C12" s="53" t="s">
        <v>175</v>
      </c>
      <c r="D12" s="54"/>
      <c r="E12" s="46" t="s">
        <v>186</v>
      </c>
      <c r="F12" s="46" t="s">
        <v>176</v>
      </c>
    </row>
    <row r="13" spans="1:6" ht="341.25" customHeight="1">
      <c r="A13" s="47"/>
      <c r="B13" s="47"/>
      <c r="C13" s="38" t="s">
        <v>184</v>
      </c>
      <c r="D13" s="38" t="s">
        <v>185</v>
      </c>
      <c r="E13" s="47"/>
      <c r="F13" s="47"/>
    </row>
    <row r="14" spans="1:6" ht="21.75" customHeight="1">
      <c r="A14" s="42" t="s">
        <v>187</v>
      </c>
      <c r="B14" s="42" t="s">
        <v>188</v>
      </c>
      <c r="C14" s="38" t="s">
        <v>189</v>
      </c>
      <c r="D14" s="38" t="s">
        <v>190</v>
      </c>
      <c r="E14" s="44" t="s">
        <v>191</v>
      </c>
      <c r="F14" s="43" t="s">
        <v>192</v>
      </c>
    </row>
    <row r="15" spans="1:6" s="19" customFormat="1" ht="37.5">
      <c r="A15" s="7" t="s">
        <v>9</v>
      </c>
      <c r="B15" s="8" t="s">
        <v>25</v>
      </c>
      <c r="C15" s="9">
        <f>C16+C24+C38+C49+C61+C66</f>
        <v>46506148.39</v>
      </c>
      <c r="D15" s="9">
        <f>D16+D24+D38+D49+D61+D66</f>
        <v>50046696.77</v>
      </c>
      <c r="E15" s="9">
        <f>E16+E24+E38+E49+E61+E66</f>
        <v>50682130.51</v>
      </c>
      <c r="F15" s="40">
        <f>E15/D15*100</f>
        <v>101.26968167933292</v>
      </c>
    </row>
    <row r="16" spans="1:6" s="19" customFormat="1" ht="18.75">
      <c r="A16" s="7" t="s">
        <v>56</v>
      </c>
      <c r="B16" s="10" t="s">
        <v>64</v>
      </c>
      <c r="C16" s="9">
        <f>C17</f>
        <v>38294000</v>
      </c>
      <c r="D16" s="9">
        <f>D17</f>
        <v>40041869.97</v>
      </c>
      <c r="E16" s="9">
        <f>E17</f>
        <v>40397932.37</v>
      </c>
      <c r="F16" s="40">
        <f aca="true" t="shared" si="0" ref="F16:F79">E16/D16*100</f>
        <v>100.88922520418444</v>
      </c>
    </row>
    <row r="17" spans="1:6" ht="18.75">
      <c r="A17" s="6" t="s">
        <v>38</v>
      </c>
      <c r="B17" s="11" t="s">
        <v>65</v>
      </c>
      <c r="C17" s="12">
        <f>C18+C20+C22</f>
        <v>38294000</v>
      </c>
      <c r="D17" s="12">
        <f>D18+D20+D22</f>
        <v>40041869.97</v>
      </c>
      <c r="E17" s="12">
        <f>E18+E20+E22</f>
        <v>40397932.37</v>
      </c>
      <c r="F17" s="39">
        <f t="shared" si="0"/>
        <v>100.88922520418444</v>
      </c>
    </row>
    <row r="18" spans="1:6" ht="150">
      <c r="A18" s="6" t="s">
        <v>20</v>
      </c>
      <c r="B18" s="11" t="s">
        <v>66</v>
      </c>
      <c r="C18" s="13">
        <f>C19</f>
        <v>37950000</v>
      </c>
      <c r="D18" s="13">
        <f>D19</f>
        <v>39653369.97</v>
      </c>
      <c r="E18" s="13">
        <f>E19</f>
        <v>40017006.19</v>
      </c>
      <c r="F18" s="39">
        <f t="shared" si="0"/>
        <v>100.91703736725304</v>
      </c>
    </row>
    <row r="19" spans="1:6" ht="150">
      <c r="A19" s="6" t="s">
        <v>39</v>
      </c>
      <c r="B19" s="11" t="s">
        <v>66</v>
      </c>
      <c r="C19" s="13">
        <f>37950000</f>
        <v>37950000</v>
      </c>
      <c r="D19" s="13">
        <f>37950000+250915.98+1171199.6+494137.99-25000-187883.6</f>
        <v>39653369.97</v>
      </c>
      <c r="E19" s="14">
        <f>40017006.19</f>
        <v>40017006.19</v>
      </c>
      <c r="F19" s="39">
        <f t="shared" si="0"/>
        <v>100.91703736725304</v>
      </c>
    </row>
    <row r="20" spans="1:6" ht="206.25" customHeight="1">
      <c r="A20" s="6" t="s">
        <v>21</v>
      </c>
      <c r="B20" s="11" t="s">
        <v>27</v>
      </c>
      <c r="C20" s="13">
        <f>C21</f>
        <v>102500</v>
      </c>
      <c r="D20" s="13">
        <f>D21</f>
        <v>143500</v>
      </c>
      <c r="E20" s="13">
        <f>E21</f>
        <v>143417.48</v>
      </c>
      <c r="F20" s="39">
        <f t="shared" si="0"/>
        <v>99.94249477351917</v>
      </c>
    </row>
    <row r="21" spans="1:6" ht="205.5" customHeight="1">
      <c r="A21" s="6" t="s">
        <v>10</v>
      </c>
      <c r="B21" s="11" t="s">
        <v>27</v>
      </c>
      <c r="C21" s="15">
        <f>102500</f>
        <v>102500</v>
      </c>
      <c r="D21" s="15">
        <f>102500+25000+5000+11000</f>
        <v>143500</v>
      </c>
      <c r="E21" s="14">
        <f>143417.48</f>
        <v>143417.48</v>
      </c>
      <c r="F21" s="39">
        <f t="shared" si="0"/>
        <v>99.94249477351917</v>
      </c>
    </row>
    <row r="22" spans="1:6" ht="93.75">
      <c r="A22" s="6" t="s">
        <v>57</v>
      </c>
      <c r="B22" s="11" t="s">
        <v>28</v>
      </c>
      <c r="C22" s="15">
        <f>C23</f>
        <v>241500</v>
      </c>
      <c r="D22" s="15">
        <f>D23</f>
        <v>245000</v>
      </c>
      <c r="E22" s="15">
        <f>E23</f>
        <v>237508.7</v>
      </c>
      <c r="F22" s="39">
        <f t="shared" si="0"/>
        <v>96.94232653061225</v>
      </c>
    </row>
    <row r="23" spans="1:6" ht="93.75">
      <c r="A23" s="6" t="s">
        <v>58</v>
      </c>
      <c r="B23" s="11" t="s">
        <v>28</v>
      </c>
      <c r="C23" s="16">
        <f>241500</f>
        <v>241500</v>
      </c>
      <c r="D23" s="16">
        <f>241500-41500+25000+20000</f>
        <v>245000</v>
      </c>
      <c r="E23" s="14">
        <f>237508.7</f>
        <v>237508.7</v>
      </c>
      <c r="F23" s="39">
        <f t="shared" si="0"/>
        <v>96.94232653061225</v>
      </c>
    </row>
    <row r="24" spans="1:6" s="19" customFormat="1" ht="75">
      <c r="A24" s="7" t="s">
        <v>59</v>
      </c>
      <c r="B24" s="10" t="s">
        <v>19</v>
      </c>
      <c r="C24" s="17">
        <f>C25</f>
        <v>2058090.2</v>
      </c>
      <c r="D24" s="17">
        <f>D25</f>
        <v>2058090.2</v>
      </c>
      <c r="E24" s="17">
        <f>E25</f>
        <v>2025929.34</v>
      </c>
      <c r="F24" s="40">
        <f t="shared" si="0"/>
        <v>98.437344485679</v>
      </c>
    </row>
    <row r="25" spans="1:6" ht="56.25">
      <c r="A25" s="6" t="s">
        <v>17</v>
      </c>
      <c r="B25" s="11" t="s">
        <v>29</v>
      </c>
      <c r="C25" s="16">
        <f>C26+C29+C32+C35</f>
        <v>2058090.2</v>
      </c>
      <c r="D25" s="16">
        <f>D26+D29+D32+D35</f>
        <v>2058090.2</v>
      </c>
      <c r="E25" s="16">
        <f>E26+E29+E32+E35</f>
        <v>2025929.34</v>
      </c>
      <c r="F25" s="39">
        <f t="shared" si="0"/>
        <v>98.437344485679</v>
      </c>
    </row>
    <row r="26" spans="1:6" ht="132.75" customHeight="1">
      <c r="A26" s="6" t="s">
        <v>24</v>
      </c>
      <c r="B26" s="11" t="s">
        <v>110</v>
      </c>
      <c r="C26" s="16">
        <f>C28</f>
        <v>745794.88</v>
      </c>
      <c r="D26" s="16">
        <f>D28</f>
        <v>937094.88</v>
      </c>
      <c r="E26" s="16">
        <f>E28</f>
        <v>934435.12</v>
      </c>
      <c r="F26" s="39">
        <f t="shared" si="0"/>
        <v>99.71616961561031</v>
      </c>
    </row>
    <row r="27" spans="1:6" ht="224.25" customHeight="1">
      <c r="A27" s="6" t="s">
        <v>109</v>
      </c>
      <c r="B27" s="18" t="s">
        <v>108</v>
      </c>
      <c r="C27" s="16">
        <f>C28</f>
        <v>745794.88</v>
      </c>
      <c r="D27" s="16">
        <f>D28</f>
        <v>937094.88</v>
      </c>
      <c r="E27" s="16">
        <f>E28</f>
        <v>934435.12</v>
      </c>
      <c r="F27" s="39">
        <f t="shared" si="0"/>
        <v>99.71616961561031</v>
      </c>
    </row>
    <row r="28" spans="1:6" s="19" customFormat="1" ht="224.25" customHeight="1">
      <c r="A28" s="5" t="s">
        <v>107</v>
      </c>
      <c r="B28" s="18" t="s">
        <v>108</v>
      </c>
      <c r="C28" s="16">
        <f>745794.88</f>
        <v>745794.88</v>
      </c>
      <c r="D28" s="16">
        <f>745794.88+65000+108000+17500+800</f>
        <v>937094.88</v>
      </c>
      <c r="E28" s="14">
        <f>934435.12</f>
        <v>934435.12</v>
      </c>
      <c r="F28" s="39">
        <f t="shared" si="0"/>
        <v>99.71616961561031</v>
      </c>
    </row>
    <row r="29" spans="1:6" ht="168" customHeight="1">
      <c r="A29" s="6" t="s">
        <v>23</v>
      </c>
      <c r="B29" s="11" t="s">
        <v>114</v>
      </c>
      <c r="C29" s="16">
        <f>C31</f>
        <v>4924.32</v>
      </c>
      <c r="D29" s="16">
        <f>D31</f>
        <v>6924.32</v>
      </c>
      <c r="E29" s="16">
        <f>E31</f>
        <v>6683.74</v>
      </c>
      <c r="F29" s="39">
        <f t="shared" si="0"/>
        <v>96.52557940707536</v>
      </c>
    </row>
    <row r="30" spans="1:6" ht="261.75" customHeight="1">
      <c r="A30" s="6" t="s">
        <v>113</v>
      </c>
      <c r="B30" s="18" t="s">
        <v>112</v>
      </c>
      <c r="C30" s="16">
        <f>C31</f>
        <v>4924.32</v>
      </c>
      <c r="D30" s="16">
        <f>D31</f>
        <v>6924.32</v>
      </c>
      <c r="E30" s="16">
        <f>E31</f>
        <v>6683.74</v>
      </c>
      <c r="F30" s="39">
        <f t="shared" si="0"/>
        <v>96.52557940707536</v>
      </c>
    </row>
    <row r="31" spans="1:6" ht="261.75" customHeight="1">
      <c r="A31" s="6" t="s">
        <v>111</v>
      </c>
      <c r="B31" s="18" t="s">
        <v>112</v>
      </c>
      <c r="C31" s="16">
        <f>4924.32</f>
        <v>4924.32</v>
      </c>
      <c r="D31" s="16">
        <f>4924.32+3000-500-500</f>
        <v>6924.32</v>
      </c>
      <c r="E31" s="14">
        <f>6683.74</f>
        <v>6683.74</v>
      </c>
      <c r="F31" s="39">
        <f t="shared" si="0"/>
        <v>96.52557940707536</v>
      </c>
    </row>
    <row r="32" spans="1:6" ht="148.5" customHeight="1">
      <c r="A32" s="6" t="s">
        <v>22</v>
      </c>
      <c r="B32" s="11" t="s">
        <v>118</v>
      </c>
      <c r="C32" s="16">
        <f aca="true" t="shared" si="1" ref="C32:E33">C33</f>
        <v>1446105.16</v>
      </c>
      <c r="D32" s="16">
        <f t="shared" si="1"/>
        <v>1271805.16</v>
      </c>
      <c r="E32" s="16">
        <f t="shared" si="1"/>
        <v>1257077.78</v>
      </c>
      <c r="F32" s="39">
        <f t="shared" si="0"/>
        <v>98.8420097304842</v>
      </c>
    </row>
    <row r="33" spans="1:6" ht="225" customHeight="1">
      <c r="A33" s="6" t="s">
        <v>117</v>
      </c>
      <c r="B33" s="18" t="s">
        <v>116</v>
      </c>
      <c r="C33" s="16">
        <f t="shared" si="1"/>
        <v>1446105.16</v>
      </c>
      <c r="D33" s="16">
        <f t="shared" si="1"/>
        <v>1271805.16</v>
      </c>
      <c r="E33" s="16">
        <f t="shared" si="1"/>
        <v>1257077.78</v>
      </c>
      <c r="F33" s="39">
        <f t="shared" si="0"/>
        <v>98.8420097304842</v>
      </c>
    </row>
    <row r="34" spans="1:6" ht="224.25" customHeight="1">
      <c r="A34" s="5" t="s">
        <v>115</v>
      </c>
      <c r="B34" s="18" t="s">
        <v>116</v>
      </c>
      <c r="C34" s="16">
        <f>1446105.16</f>
        <v>1446105.16</v>
      </c>
      <c r="D34" s="16">
        <f>1446105.16-65000-101000-10000+1700</f>
        <v>1271805.16</v>
      </c>
      <c r="E34" s="14">
        <f>1257077.78</f>
        <v>1257077.78</v>
      </c>
      <c r="F34" s="39">
        <f t="shared" si="0"/>
        <v>98.8420097304842</v>
      </c>
    </row>
    <row r="35" spans="1:6" ht="148.5" customHeight="1">
      <c r="A35" s="6" t="s">
        <v>40</v>
      </c>
      <c r="B35" s="11" t="s">
        <v>122</v>
      </c>
      <c r="C35" s="16">
        <f aca="true" t="shared" si="2" ref="C35:E36">C36</f>
        <v>-138734.16</v>
      </c>
      <c r="D35" s="16">
        <f t="shared" si="2"/>
        <v>-157734.16</v>
      </c>
      <c r="E35" s="16">
        <f t="shared" si="2"/>
        <v>-172267.3</v>
      </c>
      <c r="F35" s="39">
        <f t="shared" si="0"/>
        <v>109.21369220212031</v>
      </c>
    </row>
    <row r="36" spans="1:6" ht="226.5" customHeight="1">
      <c r="A36" s="6" t="s">
        <v>121</v>
      </c>
      <c r="B36" s="18" t="s">
        <v>120</v>
      </c>
      <c r="C36" s="16">
        <f t="shared" si="2"/>
        <v>-138734.16</v>
      </c>
      <c r="D36" s="16">
        <f t="shared" si="2"/>
        <v>-157734.16</v>
      </c>
      <c r="E36" s="16">
        <f t="shared" si="2"/>
        <v>-172267.3</v>
      </c>
      <c r="F36" s="39">
        <f t="shared" si="0"/>
        <v>109.21369220212031</v>
      </c>
    </row>
    <row r="37" spans="1:6" ht="225.75" customHeight="1">
      <c r="A37" s="5" t="s">
        <v>119</v>
      </c>
      <c r="B37" s="18" t="s">
        <v>120</v>
      </c>
      <c r="C37" s="16">
        <f>-138734.16</f>
        <v>-138734.16</v>
      </c>
      <c r="D37" s="16">
        <f>-138734.16-10000-7000-2000</f>
        <v>-157734.16</v>
      </c>
      <c r="E37" s="14">
        <f>-172267.3</f>
        <v>-172267.3</v>
      </c>
      <c r="F37" s="39">
        <f t="shared" si="0"/>
        <v>109.21369220212031</v>
      </c>
    </row>
    <row r="38" spans="1:6" s="19" customFormat="1" ht="18.75">
      <c r="A38" s="7" t="s">
        <v>41</v>
      </c>
      <c r="B38" s="10" t="s">
        <v>30</v>
      </c>
      <c r="C38" s="9">
        <f>C39+C42</f>
        <v>4000000</v>
      </c>
      <c r="D38" s="9">
        <f>D39+D42</f>
        <v>4155883.6</v>
      </c>
      <c r="E38" s="9">
        <f>E39+E42</f>
        <v>4297441.75</v>
      </c>
      <c r="F38" s="40">
        <f t="shared" si="0"/>
        <v>103.40621065517811</v>
      </c>
    </row>
    <row r="39" spans="1:6" ht="18.75">
      <c r="A39" s="6" t="s">
        <v>42</v>
      </c>
      <c r="B39" s="11" t="s">
        <v>31</v>
      </c>
      <c r="C39" s="12">
        <f aca="true" t="shared" si="3" ref="C39:E40">C40</f>
        <v>1250000</v>
      </c>
      <c r="D39" s="12">
        <f t="shared" si="3"/>
        <v>1589175</v>
      </c>
      <c r="E39" s="12">
        <f t="shared" si="3"/>
        <v>1564865.87</v>
      </c>
      <c r="F39" s="39">
        <f t="shared" si="0"/>
        <v>98.47033020277817</v>
      </c>
    </row>
    <row r="40" spans="1:6" ht="93.75">
      <c r="A40" s="6" t="s">
        <v>43</v>
      </c>
      <c r="B40" s="11" t="s">
        <v>32</v>
      </c>
      <c r="C40" s="12">
        <f t="shared" si="3"/>
        <v>1250000</v>
      </c>
      <c r="D40" s="12">
        <f t="shared" si="3"/>
        <v>1589175</v>
      </c>
      <c r="E40" s="12">
        <f t="shared" si="3"/>
        <v>1564865.87</v>
      </c>
      <c r="F40" s="39">
        <f t="shared" si="0"/>
        <v>98.47033020277817</v>
      </c>
    </row>
    <row r="41" spans="1:6" ht="93.75">
      <c r="A41" s="6" t="s">
        <v>44</v>
      </c>
      <c r="B41" s="11" t="s">
        <v>32</v>
      </c>
      <c r="C41" s="16">
        <f>1250000</f>
        <v>1250000</v>
      </c>
      <c r="D41" s="16">
        <f>1250000+172291.4+166883.6</f>
        <v>1589175</v>
      </c>
      <c r="E41" s="14">
        <f>1564865.87</f>
        <v>1564865.87</v>
      </c>
      <c r="F41" s="39">
        <f t="shared" si="0"/>
        <v>98.47033020277817</v>
      </c>
    </row>
    <row r="42" spans="1:6" ht="18.75">
      <c r="A42" s="6" t="s">
        <v>45</v>
      </c>
      <c r="B42" s="11" t="s">
        <v>33</v>
      </c>
      <c r="C42" s="12">
        <f>C43+C46</f>
        <v>2750000</v>
      </c>
      <c r="D42" s="12">
        <f>D43+D46</f>
        <v>2566708.6</v>
      </c>
      <c r="E42" s="12">
        <f>E43+E46</f>
        <v>2732575.88</v>
      </c>
      <c r="F42" s="39">
        <f t="shared" si="0"/>
        <v>106.4622559802854</v>
      </c>
    </row>
    <row r="43" spans="1:6" ht="18.75">
      <c r="A43" s="6" t="s">
        <v>46</v>
      </c>
      <c r="B43" s="11" t="s">
        <v>34</v>
      </c>
      <c r="C43" s="12">
        <f aca="true" t="shared" si="4" ref="C43:E44">C44</f>
        <v>1050000</v>
      </c>
      <c r="D43" s="12">
        <f t="shared" si="4"/>
        <v>1133553.09</v>
      </c>
      <c r="E43" s="12">
        <f t="shared" si="4"/>
        <v>1208028.1</v>
      </c>
      <c r="F43" s="39">
        <f t="shared" si="0"/>
        <v>106.57005045965691</v>
      </c>
    </row>
    <row r="44" spans="1:6" ht="75">
      <c r="A44" s="6" t="s">
        <v>47</v>
      </c>
      <c r="B44" s="11" t="s">
        <v>35</v>
      </c>
      <c r="C44" s="12">
        <f t="shared" si="4"/>
        <v>1050000</v>
      </c>
      <c r="D44" s="12">
        <f t="shared" si="4"/>
        <v>1133553.09</v>
      </c>
      <c r="E44" s="12">
        <f t="shared" si="4"/>
        <v>1208028.1</v>
      </c>
      <c r="F44" s="39">
        <f t="shared" si="0"/>
        <v>106.57005045965691</v>
      </c>
    </row>
    <row r="45" spans="1:6" ht="75">
      <c r="A45" s="6" t="s">
        <v>48</v>
      </c>
      <c r="B45" s="11" t="s">
        <v>35</v>
      </c>
      <c r="C45" s="12">
        <f>1050000</f>
        <v>1050000</v>
      </c>
      <c r="D45" s="12">
        <f>1050000+73000+10553.09</f>
        <v>1133553.09</v>
      </c>
      <c r="E45" s="14">
        <f>1208028.1</f>
        <v>1208028.1</v>
      </c>
      <c r="F45" s="39">
        <f t="shared" si="0"/>
        <v>106.57005045965691</v>
      </c>
    </row>
    <row r="46" spans="1:6" ht="18.75">
      <c r="A46" s="5" t="s">
        <v>54</v>
      </c>
      <c r="B46" s="11" t="s">
        <v>67</v>
      </c>
      <c r="C46" s="13">
        <f aca="true" t="shared" si="5" ref="C46:E47">C47</f>
        <v>1700000</v>
      </c>
      <c r="D46" s="13">
        <f t="shared" si="5"/>
        <v>1433155.51</v>
      </c>
      <c r="E46" s="13">
        <f t="shared" si="5"/>
        <v>1524547.78</v>
      </c>
      <c r="F46" s="39">
        <f t="shared" si="0"/>
        <v>106.37699603164488</v>
      </c>
    </row>
    <row r="47" spans="1:6" ht="75">
      <c r="A47" s="6" t="s">
        <v>49</v>
      </c>
      <c r="B47" s="11" t="s">
        <v>36</v>
      </c>
      <c r="C47" s="13">
        <f t="shared" si="5"/>
        <v>1700000</v>
      </c>
      <c r="D47" s="13">
        <f t="shared" si="5"/>
        <v>1433155.51</v>
      </c>
      <c r="E47" s="13">
        <f t="shared" si="5"/>
        <v>1524547.78</v>
      </c>
      <c r="F47" s="39">
        <f t="shared" si="0"/>
        <v>106.37699603164488</v>
      </c>
    </row>
    <row r="48" spans="1:6" ht="75">
      <c r="A48" s="6" t="s">
        <v>50</v>
      </c>
      <c r="B48" s="11" t="s">
        <v>36</v>
      </c>
      <c r="C48" s="13">
        <f>1700000</f>
        <v>1700000</v>
      </c>
      <c r="D48" s="13">
        <f>1700000-73000-182844.49-11000</f>
        <v>1433155.51</v>
      </c>
      <c r="E48" s="14">
        <f>1524547.78</f>
        <v>1524547.78</v>
      </c>
      <c r="F48" s="39">
        <f t="shared" si="0"/>
        <v>106.37699603164488</v>
      </c>
    </row>
    <row r="49" spans="1:6" s="19" customFormat="1" ht="93.75">
      <c r="A49" s="7" t="s">
        <v>11</v>
      </c>
      <c r="B49" s="10" t="s">
        <v>68</v>
      </c>
      <c r="C49" s="17">
        <f>C50</f>
        <v>2114058.19</v>
      </c>
      <c r="D49" s="17">
        <f>D50</f>
        <v>3526728.31</v>
      </c>
      <c r="E49" s="17">
        <f>E50</f>
        <v>3659798.69</v>
      </c>
      <c r="F49" s="40">
        <f t="shared" si="0"/>
        <v>103.77319624034209</v>
      </c>
    </row>
    <row r="50" spans="1:6" ht="170.25" customHeight="1">
      <c r="A50" s="6" t="s">
        <v>12</v>
      </c>
      <c r="B50" s="11" t="s">
        <v>81</v>
      </c>
      <c r="C50" s="16">
        <f>C51+C54+C57</f>
        <v>2114058.19</v>
      </c>
      <c r="D50" s="16">
        <f>D51+D54+D57</f>
        <v>3526728.31</v>
      </c>
      <c r="E50" s="16">
        <f>E51+E54+E57</f>
        <v>3659798.69</v>
      </c>
      <c r="F50" s="39">
        <f t="shared" si="0"/>
        <v>103.77319624034209</v>
      </c>
    </row>
    <row r="51" spans="1:6" ht="131.25">
      <c r="A51" s="6" t="s">
        <v>14</v>
      </c>
      <c r="B51" s="11" t="s">
        <v>8</v>
      </c>
      <c r="C51" s="16">
        <f aca="true" t="shared" si="6" ref="C51:E52">C52</f>
        <v>700000</v>
      </c>
      <c r="D51" s="16">
        <f t="shared" si="6"/>
        <v>1194910.6300000001</v>
      </c>
      <c r="E51" s="16">
        <f t="shared" si="6"/>
        <v>1337266.53</v>
      </c>
      <c r="F51" s="39">
        <f t="shared" si="0"/>
        <v>111.9135185867415</v>
      </c>
    </row>
    <row r="52" spans="1:6" ht="152.25" customHeight="1">
      <c r="A52" s="6" t="s">
        <v>52</v>
      </c>
      <c r="B52" s="11" t="s">
        <v>69</v>
      </c>
      <c r="C52" s="12">
        <f t="shared" si="6"/>
        <v>700000</v>
      </c>
      <c r="D52" s="12">
        <f t="shared" si="6"/>
        <v>1194910.6300000001</v>
      </c>
      <c r="E52" s="12">
        <f t="shared" si="6"/>
        <v>1337266.53</v>
      </c>
      <c r="F52" s="39">
        <f t="shared" si="0"/>
        <v>111.9135185867415</v>
      </c>
    </row>
    <row r="53" spans="1:6" ht="151.5" customHeight="1">
      <c r="A53" s="6" t="s">
        <v>83</v>
      </c>
      <c r="B53" s="20" t="s">
        <v>70</v>
      </c>
      <c r="C53" s="13">
        <f>700000</f>
        <v>700000</v>
      </c>
      <c r="D53" s="13">
        <f>700000+1709.78+180000+105000+83755.81+124445.04</f>
        <v>1194910.6300000001</v>
      </c>
      <c r="E53" s="14">
        <f>1337266.53</f>
        <v>1337266.53</v>
      </c>
      <c r="F53" s="39">
        <f t="shared" si="0"/>
        <v>111.9135185867415</v>
      </c>
    </row>
    <row r="54" spans="1:6" ht="152.25" customHeight="1">
      <c r="A54" s="21" t="s">
        <v>55</v>
      </c>
      <c r="B54" s="11" t="s">
        <v>71</v>
      </c>
      <c r="C54" s="16">
        <f>C55</f>
        <v>90000</v>
      </c>
      <c r="D54" s="16">
        <f>D55</f>
        <v>382381.55</v>
      </c>
      <c r="E54" s="16">
        <f>E55</f>
        <v>392293.03</v>
      </c>
      <c r="F54" s="39">
        <f t="shared" si="0"/>
        <v>102.59203928641432</v>
      </c>
    </row>
    <row r="55" spans="1:6" ht="150">
      <c r="A55" s="6" t="s">
        <v>51</v>
      </c>
      <c r="B55" s="11" t="s">
        <v>72</v>
      </c>
      <c r="C55" s="16">
        <f>SUM(C56:C56)</f>
        <v>90000</v>
      </c>
      <c r="D55" s="16">
        <f>SUM(D56:D56)</f>
        <v>382381.55</v>
      </c>
      <c r="E55" s="16">
        <f>SUM(E56:E56)</f>
        <v>392293.03</v>
      </c>
      <c r="F55" s="39">
        <f t="shared" si="0"/>
        <v>102.59203928641432</v>
      </c>
    </row>
    <row r="56" spans="1:6" ht="150">
      <c r="A56" s="6" t="s">
        <v>123</v>
      </c>
      <c r="B56" s="11" t="s">
        <v>73</v>
      </c>
      <c r="C56" s="16">
        <f>90000</f>
        <v>90000</v>
      </c>
      <c r="D56" s="16">
        <f>90000+34000+130000+191381.55-63000</f>
        <v>382381.55</v>
      </c>
      <c r="E56" s="16">
        <f>392293.03</f>
        <v>392293.03</v>
      </c>
      <c r="F56" s="39">
        <f t="shared" si="0"/>
        <v>102.59203928641432</v>
      </c>
    </row>
    <row r="57" spans="1:6" ht="168.75">
      <c r="A57" s="6" t="s">
        <v>15</v>
      </c>
      <c r="B57" s="20" t="s">
        <v>74</v>
      </c>
      <c r="C57" s="16">
        <f>C58</f>
        <v>1324058.19</v>
      </c>
      <c r="D57" s="16">
        <f>D58</f>
        <v>1949436.13</v>
      </c>
      <c r="E57" s="16">
        <f>E58</f>
        <v>1930239.13</v>
      </c>
      <c r="F57" s="39">
        <f t="shared" si="0"/>
        <v>99.01525370826076</v>
      </c>
    </row>
    <row r="58" spans="1:6" ht="132" customHeight="1">
      <c r="A58" s="6" t="s">
        <v>53</v>
      </c>
      <c r="B58" s="11" t="s">
        <v>75</v>
      </c>
      <c r="C58" s="16">
        <f>SUM(C59:C60)</f>
        <v>1324058.19</v>
      </c>
      <c r="D58" s="16">
        <f>SUM(D59:D60)</f>
        <v>1949436.13</v>
      </c>
      <c r="E58" s="16">
        <f>SUM(E59:E60)</f>
        <v>1930239.13</v>
      </c>
      <c r="F58" s="39">
        <f t="shared" si="0"/>
        <v>99.01525370826076</v>
      </c>
    </row>
    <row r="59" spans="1:6" ht="132" customHeight="1">
      <c r="A59" s="6" t="s">
        <v>169</v>
      </c>
      <c r="B59" s="11" t="s">
        <v>76</v>
      </c>
      <c r="C59" s="16">
        <f>0</f>
        <v>0</v>
      </c>
      <c r="D59" s="16">
        <f>5251.15+6480+1577+1191.85+448000-40000-61445.04</f>
        <v>361054.96</v>
      </c>
      <c r="E59" s="16">
        <f>340502.65</f>
        <v>340502.65</v>
      </c>
      <c r="F59" s="39">
        <f t="shared" si="0"/>
        <v>94.30770595147065</v>
      </c>
    </row>
    <row r="60" spans="1:6" ht="132.75" customHeight="1">
      <c r="A60" s="6" t="s">
        <v>124</v>
      </c>
      <c r="B60" s="11" t="s">
        <v>76</v>
      </c>
      <c r="C60" s="16">
        <f>1324058.19</f>
        <v>1324058.19</v>
      </c>
      <c r="D60" s="16">
        <f>500000+824058.19+162990.71+18878.77+42453.5+40000</f>
        <v>1588381.17</v>
      </c>
      <c r="E60" s="16">
        <f>1589736.48</f>
        <v>1589736.48</v>
      </c>
      <c r="F60" s="39">
        <f t="shared" si="0"/>
        <v>100.08532649628428</v>
      </c>
    </row>
    <row r="61" spans="1:6" s="19" customFormat="1" ht="56.25">
      <c r="A61" s="7" t="s">
        <v>60</v>
      </c>
      <c r="B61" s="8" t="s">
        <v>77</v>
      </c>
      <c r="C61" s="17">
        <f aca="true" t="shared" si="7" ref="C61:E64">C62</f>
        <v>40000</v>
      </c>
      <c r="D61" s="17">
        <f t="shared" si="7"/>
        <v>161197.30000000002</v>
      </c>
      <c r="E61" s="17">
        <f t="shared" si="7"/>
        <v>163100.97</v>
      </c>
      <c r="F61" s="40">
        <f t="shared" si="0"/>
        <v>101.18095650485459</v>
      </c>
    </row>
    <row r="62" spans="1:6" s="19" customFormat="1" ht="75">
      <c r="A62" s="6" t="s">
        <v>61</v>
      </c>
      <c r="B62" s="11" t="s">
        <v>78</v>
      </c>
      <c r="C62" s="16">
        <f t="shared" si="7"/>
        <v>40000</v>
      </c>
      <c r="D62" s="16">
        <f t="shared" si="7"/>
        <v>161197.30000000002</v>
      </c>
      <c r="E62" s="16">
        <f t="shared" si="7"/>
        <v>163100.97</v>
      </c>
      <c r="F62" s="39">
        <f t="shared" si="0"/>
        <v>101.18095650485459</v>
      </c>
    </row>
    <row r="63" spans="1:6" ht="75">
      <c r="A63" s="6" t="s">
        <v>62</v>
      </c>
      <c r="B63" s="22" t="s">
        <v>79</v>
      </c>
      <c r="C63" s="16">
        <f t="shared" si="7"/>
        <v>40000</v>
      </c>
      <c r="D63" s="16">
        <f t="shared" si="7"/>
        <v>161197.30000000002</v>
      </c>
      <c r="E63" s="16">
        <f t="shared" si="7"/>
        <v>163100.97</v>
      </c>
      <c r="F63" s="39">
        <f t="shared" si="0"/>
        <v>101.18095650485459</v>
      </c>
    </row>
    <row r="64" spans="1:6" ht="93.75">
      <c r="A64" s="6" t="s">
        <v>63</v>
      </c>
      <c r="B64" s="11" t="s">
        <v>82</v>
      </c>
      <c r="C64" s="16">
        <f t="shared" si="7"/>
        <v>40000</v>
      </c>
      <c r="D64" s="16">
        <f t="shared" si="7"/>
        <v>161197.30000000002</v>
      </c>
      <c r="E64" s="16">
        <f t="shared" si="7"/>
        <v>163100.97</v>
      </c>
      <c r="F64" s="39">
        <f t="shared" si="0"/>
        <v>101.18095650485459</v>
      </c>
    </row>
    <row r="65" spans="1:6" ht="93.75">
      <c r="A65" s="23" t="s">
        <v>84</v>
      </c>
      <c r="B65" s="20" t="s">
        <v>80</v>
      </c>
      <c r="C65" s="36">
        <f>40000</f>
        <v>40000</v>
      </c>
      <c r="D65" s="36">
        <f>40000+101384+16148.6+1512+2152.7</f>
        <v>161197.30000000002</v>
      </c>
      <c r="E65" s="24">
        <f>163100.97</f>
        <v>163100.97</v>
      </c>
      <c r="F65" s="39">
        <f t="shared" si="0"/>
        <v>101.18095650485459</v>
      </c>
    </row>
    <row r="66" spans="1:6" s="19" customFormat="1" ht="37.5">
      <c r="A66" s="7" t="s">
        <v>149</v>
      </c>
      <c r="B66" s="34" t="s">
        <v>150</v>
      </c>
      <c r="C66" s="33">
        <f aca="true" t="shared" si="8" ref="C66:E68">C67</f>
        <v>0</v>
      </c>
      <c r="D66" s="33">
        <f t="shared" si="8"/>
        <v>102927.39</v>
      </c>
      <c r="E66" s="33">
        <f t="shared" si="8"/>
        <v>137927.39</v>
      </c>
      <c r="F66" s="40">
        <f t="shared" si="0"/>
        <v>134.00455408419472</v>
      </c>
    </row>
    <row r="67" spans="1:6" ht="168.75">
      <c r="A67" s="6" t="s">
        <v>147</v>
      </c>
      <c r="B67" s="18" t="s">
        <v>148</v>
      </c>
      <c r="C67" s="16">
        <f t="shared" si="8"/>
        <v>0</v>
      </c>
      <c r="D67" s="16">
        <f t="shared" si="8"/>
        <v>102927.39</v>
      </c>
      <c r="E67" s="16">
        <f t="shared" si="8"/>
        <v>137927.39</v>
      </c>
      <c r="F67" s="39">
        <f t="shared" si="0"/>
        <v>134.00455408419472</v>
      </c>
    </row>
    <row r="68" spans="1:6" ht="131.25">
      <c r="A68" s="6" t="s">
        <v>146</v>
      </c>
      <c r="B68" s="11" t="s">
        <v>145</v>
      </c>
      <c r="C68" s="16">
        <f t="shared" si="8"/>
        <v>0</v>
      </c>
      <c r="D68" s="16">
        <f t="shared" si="8"/>
        <v>102927.39</v>
      </c>
      <c r="E68" s="16">
        <f t="shared" si="8"/>
        <v>137927.39</v>
      </c>
      <c r="F68" s="39">
        <f t="shared" si="0"/>
        <v>134.00455408419472</v>
      </c>
    </row>
    <row r="69" spans="1:6" ht="131.25">
      <c r="A69" s="6" t="s">
        <v>144</v>
      </c>
      <c r="B69" s="11" t="s">
        <v>145</v>
      </c>
      <c r="C69" s="16">
        <f>0</f>
        <v>0</v>
      </c>
      <c r="D69" s="16">
        <f>3705+44143+5765+28314.39+21000</f>
        <v>102927.39</v>
      </c>
      <c r="E69" s="14">
        <f>137927.39</f>
        <v>137927.39</v>
      </c>
      <c r="F69" s="39">
        <f t="shared" si="0"/>
        <v>134.00455408419472</v>
      </c>
    </row>
    <row r="70" spans="1:6" s="41" customFormat="1" ht="26.25" customHeight="1">
      <c r="A70" s="25" t="s">
        <v>13</v>
      </c>
      <c r="B70" s="26" t="s">
        <v>85</v>
      </c>
      <c r="C70" s="27">
        <f>C71+C103</f>
        <v>84777248</v>
      </c>
      <c r="D70" s="27">
        <f>D71+D103</f>
        <v>155129806.20999998</v>
      </c>
      <c r="E70" s="27">
        <f>E71+E103</f>
        <v>153428320.66</v>
      </c>
      <c r="F70" s="40">
        <f t="shared" si="0"/>
        <v>98.9031859243757</v>
      </c>
    </row>
    <row r="71" spans="1:6" s="19" customFormat="1" ht="75.75" customHeight="1">
      <c r="A71" s="7" t="s">
        <v>18</v>
      </c>
      <c r="B71" s="10" t="s">
        <v>86</v>
      </c>
      <c r="C71" s="28">
        <f>C72+C79+C92+C96</f>
        <v>84777248</v>
      </c>
      <c r="D71" s="28">
        <f>D72+D79+D92+D96</f>
        <v>155080606.20999998</v>
      </c>
      <c r="E71" s="28">
        <f>E72+E79+E92+E96</f>
        <v>153379120.66</v>
      </c>
      <c r="F71" s="40">
        <f t="shared" si="0"/>
        <v>98.9028379553173</v>
      </c>
    </row>
    <row r="72" spans="1:6" ht="37.5">
      <c r="A72" s="6" t="s">
        <v>92</v>
      </c>
      <c r="B72" s="29" t="s">
        <v>87</v>
      </c>
      <c r="C72" s="14">
        <f>C73+C76</f>
        <v>23826990</v>
      </c>
      <c r="D72" s="14">
        <f>D73+D76</f>
        <v>25524705</v>
      </c>
      <c r="E72" s="14">
        <f>E73+E76</f>
        <v>25524705</v>
      </c>
      <c r="F72" s="39">
        <f t="shared" si="0"/>
        <v>100</v>
      </c>
    </row>
    <row r="73" spans="1:6" ht="37.5">
      <c r="A73" s="6" t="s">
        <v>93</v>
      </c>
      <c r="B73" s="3" t="s">
        <v>37</v>
      </c>
      <c r="C73" s="14">
        <f aca="true" t="shared" si="9" ref="C73:E74">C74</f>
        <v>21534400</v>
      </c>
      <c r="D73" s="14">
        <f t="shared" si="9"/>
        <v>21534400</v>
      </c>
      <c r="E73" s="14">
        <f t="shared" si="9"/>
        <v>21534400</v>
      </c>
      <c r="F73" s="39">
        <f t="shared" si="0"/>
        <v>100</v>
      </c>
    </row>
    <row r="74" spans="1:6" ht="77.25" customHeight="1">
      <c r="A74" s="6" t="s">
        <v>94</v>
      </c>
      <c r="B74" s="11" t="s">
        <v>136</v>
      </c>
      <c r="C74" s="12">
        <f t="shared" si="9"/>
        <v>21534400</v>
      </c>
      <c r="D74" s="12">
        <f t="shared" si="9"/>
        <v>21534400</v>
      </c>
      <c r="E74" s="12">
        <f t="shared" si="9"/>
        <v>21534400</v>
      </c>
      <c r="F74" s="39">
        <f t="shared" si="0"/>
        <v>100</v>
      </c>
    </row>
    <row r="75" spans="1:6" ht="75.75" customHeight="1">
      <c r="A75" s="6" t="s">
        <v>95</v>
      </c>
      <c r="B75" s="11" t="s">
        <v>135</v>
      </c>
      <c r="C75" s="12">
        <f>21534400</f>
        <v>21534400</v>
      </c>
      <c r="D75" s="12">
        <f>21534400</f>
        <v>21534400</v>
      </c>
      <c r="E75" s="14">
        <f>21534400</f>
        <v>21534400</v>
      </c>
      <c r="F75" s="39">
        <f t="shared" si="0"/>
        <v>100</v>
      </c>
    </row>
    <row r="76" spans="1:6" ht="55.5" customHeight="1">
      <c r="A76" s="6" t="s">
        <v>96</v>
      </c>
      <c r="B76" s="11" t="s">
        <v>90</v>
      </c>
      <c r="C76" s="30">
        <f aca="true" t="shared" si="10" ref="C76:E77">C77</f>
        <v>2292590</v>
      </c>
      <c r="D76" s="30">
        <f t="shared" si="10"/>
        <v>3990305</v>
      </c>
      <c r="E76" s="30">
        <f t="shared" si="10"/>
        <v>3990305</v>
      </c>
      <c r="F76" s="39">
        <f t="shared" si="0"/>
        <v>100</v>
      </c>
    </row>
    <row r="77" spans="1:6" ht="74.25" customHeight="1">
      <c r="A77" s="6" t="s">
        <v>97</v>
      </c>
      <c r="B77" s="11" t="s">
        <v>91</v>
      </c>
      <c r="C77" s="30">
        <f t="shared" si="10"/>
        <v>2292590</v>
      </c>
      <c r="D77" s="30">
        <f t="shared" si="10"/>
        <v>3990305</v>
      </c>
      <c r="E77" s="30">
        <f t="shared" si="10"/>
        <v>3990305</v>
      </c>
      <c r="F77" s="39">
        <f t="shared" si="0"/>
        <v>100</v>
      </c>
    </row>
    <row r="78" spans="1:6" ht="74.25" customHeight="1">
      <c r="A78" s="6" t="s">
        <v>98</v>
      </c>
      <c r="B78" s="11" t="s">
        <v>91</v>
      </c>
      <c r="C78" s="30">
        <f>2292590</f>
        <v>2292590</v>
      </c>
      <c r="D78" s="30">
        <f>2292590+7420+828423+861872</f>
        <v>3990305</v>
      </c>
      <c r="E78" s="24">
        <f>3990305</f>
        <v>3990305</v>
      </c>
      <c r="F78" s="39">
        <f t="shared" si="0"/>
        <v>100</v>
      </c>
    </row>
    <row r="79" spans="1:6" ht="57.75" customHeight="1">
      <c r="A79" s="6" t="s">
        <v>100</v>
      </c>
      <c r="B79" s="11" t="s">
        <v>99</v>
      </c>
      <c r="C79" s="30">
        <f>C89+C86+C83+C80</f>
        <v>5150258</v>
      </c>
      <c r="D79" s="30">
        <f>D89+D86+D83+D80</f>
        <v>56060741.83</v>
      </c>
      <c r="E79" s="30">
        <f>E89+E86+E83+E80</f>
        <v>54434723.839999996</v>
      </c>
      <c r="F79" s="39">
        <f t="shared" si="0"/>
        <v>97.09954250171933</v>
      </c>
    </row>
    <row r="80" spans="1:6" ht="170.25" customHeight="1">
      <c r="A80" s="6" t="s">
        <v>156</v>
      </c>
      <c r="B80" s="18" t="s">
        <v>160</v>
      </c>
      <c r="C80" s="30">
        <f aca="true" t="shared" si="11" ref="C80:E81">C81</f>
        <v>0</v>
      </c>
      <c r="D80" s="30">
        <f t="shared" si="11"/>
        <v>3418278.87</v>
      </c>
      <c r="E80" s="30">
        <f t="shared" si="11"/>
        <v>3418278.86</v>
      </c>
      <c r="F80" s="39">
        <f aca="true" t="shared" si="12" ref="F80:F107">E80/D80*100</f>
        <v>99.99999970745512</v>
      </c>
    </row>
    <row r="81" spans="1:6" ht="188.25" customHeight="1">
      <c r="A81" s="6" t="s">
        <v>157</v>
      </c>
      <c r="B81" s="18" t="s">
        <v>158</v>
      </c>
      <c r="C81" s="30">
        <f t="shared" si="11"/>
        <v>0</v>
      </c>
      <c r="D81" s="30">
        <f t="shared" si="11"/>
        <v>3418278.87</v>
      </c>
      <c r="E81" s="30">
        <f t="shared" si="11"/>
        <v>3418278.86</v>
      </c>
      <c r="F81" s="39">
        <f t="shared" si="12"/>
        <v>99.99999970745512</v>
      </c>
    </row>
    <row r="82" spans="1:6" ht="186.75" customHeight="1">
      <c r="A82" s="6" t="s">
        <v>159</v>
      </c>
      <c r="B82" s="18" t="s">
        <v>158</v>
      </c>
      <c r="C82" s="30">
        <f>0</f>
        <v>0</v>
      </c>
      <c r="D82" s="30">
        <f>3418278.87</f>
        <v>3418278.87</v>
      </c>
      <c r="E82" s="30">
        <f>3418278.86</f>
        <v>3418278.86</v>
      </c>
      <c r="F82" s="39">
        <f t="shared" si="12"/>
        <v>99.99999970745512</v>
      </c>
    </row>
    <row r="83" spans="1:6" ht="57.75" customHeight="1">
      <c r="A83" s="6" t="s">
        <v>130</v>
      </c>
      <c r="B83" s="11" t="s">
        <v>131</v>
      </c>
      <c r="C83" s="30">
        <f aca="true" t="shared" si="13" ref="C83:E84">C84</f>
        <v>0</v>
      </c>
      <c r="D83" s="30">
        <f t="shared" si="13"/>
        <v>1237555.65</v>
      </c>
      <c r="E83" s="30">
        <f t="shared" si="13"/>
        <v>1237555.65</v>
      </c>
      <c r="F83" s="39">
        <f t="shared" si="12"/>
        <v>100</v>
      </c>
    </row>
    <row r="84" spans="1:6" ht="57.75" customHeight="1">
      <c r="A84" s="6" t="s">
        <v>132</v>
      </c>
      <c r="B84" s="11" t="s">
        <v>133</v>
      </c>
      <c r="C84" s="30">
        <f t="shared" si="13"/>
        <v>0</v>
      </c>
      <c r="D84" s="30">
        <f t="shared" si="13"/>
        <v>1237555.65</v>
      </c>
      <c r="E84" s="30">
        <f t="shared" si="13"/>
        <v>1237555.65</v>
      </c>
      <c r="F84" s="39">
        <f t="shared" si="12"/>
        <v>100</v>
      </c>
    </row>
    <row r="85" spans="1:6" ht="57.75" customHeight="1">
      <c r="A85" s="6" t="s">
        <v>134</v>
      </c>
      <c r="B85" s="11" t="s">
        <v>133</v>
      </c>
      <c r="C85" s="30">
        <f>0</f>
        <v>0</v>
      </c>
      <c r="D85" s="30">
        <f>773472.28+464083.37</f>
        <v>1237555.65</v>
      </c>
      <c r="E85" s="30">
        <f>1237555.65</f>
        <v>1237555.65</v>
      </c>
      <c r="F85" s="39">
        <f t="shared" si="12"/>
        <v>100</v>
      </c>
    </row>
    <row r="86" spans="1:6" ht="57.75" customHeight="1">
      <c r="A86" s="6" t="s">
        <v>125</v>
      </c>
      <c r="B86" s="11" t="s">
        <v>126</v>
      </c>
      <c r="C86" s="30">
        <f aca="true" t="shared" si="14" ref="C86:E87">C87</f>
        <v>0</v>
      </c>
      <c r="D86" s="30">
        <f t="shared" si="14"/>
        <v>32415943.31</v>
      </c>
      <c r="E86" s="30">
        <f t="shared" si="14"/>
        <v>32415943.31</v>
      </c>
      <c r="F86" s="39">
        <f t="shared" si="12"/>
        <v>100</v>
      </c>
    </row>
    <row r="87" spans="1:6" ht="75" customHeight="1">
      <c r="A87" s="6" t="s">
        <v>127</v>
      </c>
      <c r="B87" s="11" t="s">
        <v>128</v>
      </c>
      <c r="C87" s="30">
        <f t="shared" si="14"/>
        <v>0</v>
      </c>
      <c r="D87" s="30">
        <f t="shared" si="14"/>
        <v>32415943.31</v>
      </c>
      <c r="E87" s="30">
        <f t="shared" si="14"/>
        <v>32415943.31</v>
      </c>
      <c r="F87" s="39">
        <f t="shared" si="12"/>
        <v>100</v>
      </c>
    </row>
    <row r="88" spans="1:6" ht="75.75" customHeight="1">
      <c r="A88" s="6" t="s">
        <v>129</v>
      </c>
      <c r="B88" s="11" t="s">
        <v>128</v>
      </c>
      <c r="C88" s="30">
        <f>0</f>
        <v>0</v>
      </c>
      <c r="D88" s="30">
        <f>26000000+700000+5715943.31</f>
        <v>32415943.31</v>
      </c>
      <c r="E88" s="30">
        <f>32415943.31</f>
        <v>32415943.31</v>
      </c>
      <c r="F88" s="39">
        <f t="shared" si="12"/>
        <v>100</v>
      </c>
    </row>
    <row r="89" spans="1:6" ht="21.75" customHeight="1">
      <c r="A89" s="6" t="s">
        <v>103</v>
      </c>
      <c r="B89" s="11" t="s">
        <v>101</v>
      </c>
      <c r="C89" s="30">
        <f aca="true" t="shared" si="15" ref="C89:E90">C90</f>
        <v>5150258</v>
      </c>
      <c r="D89" s="30">
        <f t="shared" si="15"/>
        <v>18988964</v>
      </c>
      <c r="E89" s="30">
        <f t="shared" si="15"/>
        <v>17362946.02</v>
      </c>
      <c r="F89" s="39">
        <f t="shared" si="12"/>
        <v>91.43703690206586</v>
      </c>
    </row>
    <row r="90" spans="1:6" ht="36.75" customHeight="1">
      <c r="A90" s="6" t="s">
        <v>104</v>
      </c>
      <c r="B90" s="11" t="s">
        <v>102</v>
      </c>
      <c r="C90" s="30">
        <f t="shared" si="15"/>
        <v>5150258</v>
      </c>
      <c r="D90" s="30">
        <f t="shared" si="15"/>
        <v>18988964</v>
      </c>
      <c r="E90" s="30">
        <f t="shared" si="15"/>
        <v>17362946.02</v>
      </c>
      <c r="F90" s="39">
        <f t="shared" si="12"/>
        <v>91.43703690206586</v>
      </c>
    </row>
    <row r="91" spans="1:6" ht="37.5" customHeight="1">
      <c r="A91" s="6" t="s">
        <v>105</v>
      </c>
      <c r="B91" s="11" t="s">
        <v>102</v>
      </c>
      <c r="C91" s="30">
        <f>5150258</f>
        <v>5150258</v>
      </c>
      <c r="D91" s="30">
        <f>4700258+450000-391294+1500000+13000000-270000</f>
        <v>18988964</v>
      </c>
      <c r="E91" s="24">
        <f>17362946.02</f>
        <v>17362946.02</v>
      </c>
      <c r="F91" s="39">
        <f t="shared" si="12"/>
        <v>91.43703690206586</v>
      </c>
    </row>
    <row r="92" spans="1:6" ht="37.5" customHeight="1">
      <c r="A92" s="6" t="s">
        <v>142</v>
      </c>
      <c r="B92" s="11" t="s">
        <v>143</v>
      </c>
      <c r="C92" s="30">
        <f aca="true" t="shared" si="16" ref="C92:E94">C93</f>
        <v>0</v>
      </c>
      <c r="D92" s="30">
        <f t="shared" si="16"/>
        <v>13783.78</v>
      </c>
      <c r="E92" s="30">
        <f t="shared" si="16"/>
        <v>13783</v>
      </c>
      <c r="F92" s="39">
        <f t="shared" si="12"/>
        <v>99.99434117491718</v>
      </c>
    </row>
    <row r="93" spans="1:6" ht="112.5" customHeight="1">
      <c r="A93" s="6" t="s">
        <v>140</v>
      </c>
      <c r="B93" s="11" t="s">
        <v>141</v>
      </c>
      <c r="C93" s="30">
        <f t="shared" si="16"/>
        <v>0</v>
      </c>
      <c r="D93" s="30">
        <f t="shared" si="16"/>
        <v>13783.78</v>
      </c>
      <c r="E93" s="30">
        <f t="shared" si="16"/>
        <v>13783</v>
      </c>
      <c r="F93" s="39">
        <f t="shared" si="12"/>
        <v>99.99434117491718</v>
      </c>
    </row>
    <row r="94" spans="1:6" ht="132.75" customHeight="1">
      <c r="A94" s="6" t="s">
        <v>137</v>
      </c>
      <c r="B94" s="11" t="s">
        <v>138</v>
      </c>
      <c r="C94" s="30">
        <f t="shared" si="16"/>
        <v>0</v>
      </c>
      <c r="D94" s="30">
        <f t="shared" si="16"/>
        <v>13783.78</v>
      </c>
      <c r="E94" s="30">
        <f t="shared" si="16"/>
        <v>13783</v>
      </c>
      <c r="F94" s="39">
        <f t="shared" si="12"/>
        <v>99.99434117491718</v>
      </c>
    </row>
    <row r="95" spans="1:6" ht="130.5" customHeight="1">
      <c r="A95" s="6" t="s">
        <v>139</v>
      </c>
      <c r="B95" s="11" t="s">
        <v>138</v>
      </c>
      <c r="C95" s="30">
        <f>0</f>
        <v>0</v>
      </c>
      <c r="D95" s="30">
        <v>13783.78</v>
      </c>
      <c r="E95" s="24">
        <f>13783</f>
        <v>13783</v>
      </c>
      <c r="F95" s="39">
        <f t="shared" si="12"/>
        <v>99.99434117491718</v>
      </c>
    </row>
    <row r="96" spans="1:6" ht="21" customHeight="1">
      <c r="A96" s="6" t="s">
        <v>151</v>
      </c>
      <c r="B96" s="11" t="s">
        <v>152</v>
      </c>
      <c r="C96" s="30">
        <f>C97+C100</f>
        <v>55800000</v>
      </c>
      <c r="D96" s="30">
        <f>D97+D100</f>
        <v>73481375.6</v>
      </c>
      <c r="E96" s="30">
        <f>E97+E100</f>
        <v>73405908.82</v>
      </c>
      <c r="F96" s="39">
        <f t="shared" si="12"/>
        <v>99.8972980848769</v>
      </c>
    </row>
    <row r="97" spans="1:6" ht="131.25" customHeight="1">
      <c r="A97" s="6" t="s">
        <v>161</v>
      </c>
      <c r="B97" s="11" t="s">
        <v>162</v>
      </c>
      <c r="C97" s="30">
        <f aca="true" t="shared" si="17" ref="C97:E98">C98</f>
        <v>55800000</v>
      </c>
      <c r="D97" s="30">
        <f t="shared" si="17"/>
        <v>55850000</v>
      </c>
      <c r="E97" s="30">
        <f t="shared" si="17"/>
        <v>55850000</v>
      </c>
      <c r="F97" s="39">
        <f t="shared" si="12"/>
        <v>100</v>
      </c>
    </row>
    <row r="98" spans="1:6" ht="150.75" customHeight="1">
      <c r="A98" s="6" t="s">
        <v>153</v>
      </c>
      <c r="B98" s="11" t="s">
        <v>155</v>
      </c>
      <c r="C98" s="30">
        <f t="shared" si="17"/>
        <v>55800000</v>
      </c>
      <c r="D98" s="30">
        <f t="shared" si="17"/>
        <v>55850000</v>
      </c>
      <c r="E98" s="30">
        <f t="shared" si="17"/>
        <v>55850000</v>
      </c>
      <c r="F98" s="39">
        <f t="shared" si="12"/>
        <v>100</v>
      </c>
    </row>
    <row r="99" spans="1:6" ht="150.75" customHeight="1">
      <c r="A99" s="6" t="s">
        <v>154</v>
      </c>
      <c r="B99" s="11" t="s">
        <v>155</v>
      </c>
      <c r="C99" s="30">
        <f>55800000</f>
        <v>55800000</v>
      </c>
      <c r="D99" s="30">
        <f>55850000</f>
        <v>55850000</v>
      </c>
      <c r="E99" s="24">
        <f>55850000</f>
        <v>55850000</v>
      </c>
      <c r="F99" s="39">
        <f t="shared" si="12"/>
        <v>100</v>
      </c>
    </row>
    <row r="100" spans="1:6" ht="37.5" customHeight="1">
      <c r="A100" s="5" t="s">
        <v>170</v>
      </c>
      <c r="B100" s="11" t="s">
        <v>174</v>
      </c>
      <c r="C100" s="30">
        <f aca="true" t="shared" si="18" ref="C100:E101">C101</f>
        <v>0</v>
      </c>
      <c r="D100" s="30">
        <f t="shared" si="18"/>
        <v>17631375.6</v>
      </c>
      <c r="E100" s="30">
        <f t="shared" si="18"/>
        <v>17555908.82</v>
      </c>
      <c r="F100" s="39">
        <f t="shared" si="12"/>
        <v>99.57197452024106</v>
      </c>
    </row>
    <row r="101" spans="1:6" ht="55.5" customHeight="1">
      <c r="A101" s="5" t="s">
        <v>171</v>
      </c>
      <c r="B101" s="11" t="s">
        <v>173</v>
      </c>
      <c r="C101" s="30">
        <f t="shared" si="18"/>
        <v>0</v>
      </c>
      <c r="D101" s="30">
        <f t="shared" si="18"/>
        <v>17631375.6</v>
      </c>
      <c r="E101" s="30">
        <f t="shared" si="18"/>
        <v>17555908.82</v>
      </c>
      <c r="F101" s="39">
        <f t="shared" si="12"/>
        <v>99.57197452024106</v>
      </c>
    </row>
    <row r="102" spans="1:6" ht="57.75" customHeight="1">
      <c r="A102" s="6" t="s">
        <v>172</v>
      </c>
      <c r="B102" s="11" t="s">
        <v>173</v>
      </c>
      <c r="C102" s="30">
        <f>0</f>
        <v>0</v>
      </c>
      <c r="D102" s="30">
        <f>7951953.6+9679422</f>
        <v>17631375.6</v>
      </c>
      <c r="E102" s="30">
        <f>17555908.82</f>
        <v>17555908.82</v>
      </c>
      <c r="F102" s="39">
        <f t="shared" si="12"/>
        <v>99.57197452024106</v>
      </c>
    </row>
    <row r="103" spans="1:6" s="19" customFormat="1" ht="38.25" customHeight="1">
      <c r="A103" s="10" t="s">
        <v>164</v>
      </c>
      <c r="B103" s="34" t="s">
        <v>163</v>
      </c>
      <c r="C103" s="35">
        <f aca="true" t="shared" si="19" ref="C103:E105">C104</f>
        <v>0</v>
      </c>
      <c r="D103" s="35">
        <f t="shared" si="19"/>
        <v>49200</v>
      </c>
      <c r="E103" s="35">
        <f t="shared" si="19"/>
        <v>49200</v>
      </c>
      <c r="F103" s="40">
        <f t="shared" si="12"/>
        <v>100</v>
      </c>
    </row>
    <row r="104" spans="1:6" ht="42" customHeight="1">
      <c r="A104" s="5" t="s">
        <v>165</v>
      </c>
      <c r="B104" s="11" t="s">
        <v>166</v>
      </c>
      <c r="C104" s="30">
        <f t="shared" si="19"/>
        <v>0</v>
      </c>
      <c r="D104" s="30">
        <f t="shared" si="19"/>
        <v>49200</v>
      </c>
      <c r="E104" s="30">
        <f t="shared" si="19"/>
        <v>49200</v>
      </c>
      <c r="F104" s="39">
        <f t="shared" si="12"/>
        <v>100</v>
      </c>
    </row>
    <row r="105" spans="1:6" ht="41.25" customHeight="1">
      <c r="A105" s="5" t="s">
        <v>167</v>
      </c>
      <c r="B105" s="11" t="s">
        <v>166</v>
      </c>
      <c r="C105" s="30">
        <f t="shared" si="19"/>
        <v>0</v>
      </c>
      <c r="D105" s="30">
        <f t="shared" si="19"/>
        <v>49200</v>
      </c>
      <c r="E105" s="30">
        <f t="shared" si="19"/>
        <v>49200</v>
      </c>
      <c r="F105" s="39">
        <f t="shared" si="12"/>
        <v>100</v>
      </c>
    </row>
    <row r="106" spans="1:6" ht="39.75" customHeight="1">
      <c r="A106" s="5" t="s">
        <v>168</v>
      </c>
      <c r="B106" s="11" t="s">
        <v>166</v>
      </c>
      <c r="C106" s="30">
        <f>0</f>
        <v>0</v>
      </c>
      <c r="D106" s="30">
        <f>60000-10800</f>
        <v>49200</v>
      </c>
      <c r="E106" s="24">
        <f>49200</f>
        <v>49200</v>
      </c>
      <c r="F106" s="39">
        <f t="shared" si="12"/>
        <v>100</v>
      </c>
    </row>
    <row r="107" spans="1:6" s="19" customFormat="1" ht="18.75">
      <c r="A107" s="51" t="s">
        <v>106</v>
      </c>
      <c r="B107" s="51"/>
      <c r="C107" s="9">
        <f>C15+C70</f>
        <v>131283396.39</v>
      </c>
      <c r="D107" s="9">
        <f>D15+D70</f>
        <v>205176502.98</v>
      </c>
      <c r="E107" s="9">
        <f>E15+E70</f>
        <v>204110451.17</v>
      </c>
      <c r="F107" s="40">
        <f t="shared" si="12"/>
        <v>99.48042207830011</v>
      </c>
    </row>
    <row r="108" ht="18.75">
      <c r="E108" s="31"/>
    </row>
    <row r="109" ht="18.75">
      <c r="C109" s="32"/>
    </row>
    <row r="111" ht="18.75">
      <c r="C111" s="32"/>
    </row>
  </sheetData>
  <sheetProtection/>
  <mergeCells count="16">
    <mergeCell ref="A107:B107"/>
    <mergeCell ref="A12:A13"/>
    <mergeCell ref="B12:B13"/>
    <mergeCell ref="A10:E10"/>
    <mergeCell ref="C12:D12"/>
    <mergeCell ref="E12:E13"/>
    <mergeCell ref="F12:F13"/>
    <mergeCell ref="A1:F1"/>
    <mergeCell ref="A2:F2"/>
    <mergeCell ref="A3:F3"/>
    <mergeCell ref="A4:F4"/>
    <mergeCell ref="A5:F5"/>
    <mergeCell ref="A6:F6"/>
    <mergeCell ref="A8:F8"/>
    <mergeCell ref="A9:F9"/>
    <mergeCell ref="B7:E7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Манакина</cp:lastModifiedBy>
  <cp:lastPrinted>2021-02-08T11:13:50Z</cp:lastPrinted>
  <dcterms:created xsi:type="dcterms:W3CDTF">2009-08-21T08:27:43Z</dcterms:created>
  <dcterms:modified xsi:type="dcterms:W3CDTF">2021-03-23T07:06:00Z</dcterms:modified>
  <cp:category/>
  <cp:version/>
  <cp:contentType/>
  <cp:contentStatus/>
</cp:coreProperties>
</file>