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1 Доходы по кодам классиф" sheetId="2" r:id="rId2"/>
  </sheets>
  <definedNames>
    <definedName name="_xlnm.Print_Titles" localSheetId="1">'Прил 1 Доходы по кодам классиф'!$13:$13</definedName>
  </definedNames>
  <calcPr fullCalcOnLoad="1"/>
</workbook>
</file>

<file path=xl/sharedStrings.xml><?xml version="1.0" encoding="utf-8"?>
<sst xmlns="http://schemas.openxmlformats.org/spreadsheetml/2006/main" count="230" uniqueCount="205">
  <si>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</si>
  <si>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</si>
  <si>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</si>
  <si>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</si>
  <si>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</si>
  <si>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</si>
  <si>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</si>
  <si>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</si>
  <si>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</si>
  <si>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</si>
  <si>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</si>
  <si>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</si>
  <si>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</si>
  <si>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</si>
  <si>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</si>
  <si>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</si>
  <si>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</si>
  <si>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</si>
  <si>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</si>
  <si>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</si>
  <si>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</si>
  <si>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</si>
  <si>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</si>
  <si>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</si>
  <si>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</si>
  <si>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</si>
  <si>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</si>
  <si>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</si>
  <si>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</si>
  <si>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</si>
  <si>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</si>
  <si>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</si>
  <si>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</si>
  <si>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</si>
  <si>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</si>
  <si>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</si>
  <si>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</si>
  <si>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</si>
  <si>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</si>
  <si>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</si>
  <si>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</si>
  <si>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</si>
  <si>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</si>
  <si>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</si>
  <si>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</si>
  <si>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</si>
  <si>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</si>
  <si>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</si>
  <si>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</si>
  <si>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</si>
  <si>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</si>
  <si>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</si>
  <si>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</si>
  <si>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</si>
  <si>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</si>
  <si>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</si>
  <si>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</si>
  <si>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</si>
  <si>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</si>
  <si>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</si>
  <si>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</si>
  <si>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</si>
  <si>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</si>
  <si>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</si>
  <si>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</si>
  <si>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</si>
  <si>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</si>
  <si>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</si>
  <si>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</si>
  <si>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</si>
  <si>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</si>
  <si>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</si>
  <si>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</si>
  <si>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</si>
  <si>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</si>
  <si>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</si>
  <si>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</si>
  <si>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</si>
  <si>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</si>
  <si>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</si>
  <si>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</si>
  <si>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</si>
  <si>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</si>
  <si>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</si>
  <si>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</si>
  <si>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</si>
  <si>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</si>
  <si>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</si>
  <si>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</si>
  <si>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</si>
  <si>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</si>
  <si>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</si>
  <si>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</si>
  <si>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</si>
  <si>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</si>
  <si>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</si>
  <si>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</si>
  <si>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</si>
  <si>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</si>
  <si>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</si>
  <si>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</si>
  <si>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</si>
  <si>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</si>
  <si>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</si>
  <si>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</si>
  <si>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</si>
  <si>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</si>
  <si>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</si>
  <si>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</si>
  <si>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</si>
  <si>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</si>
  <si>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</si>
  <si>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</si>
  <si>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</si>
  <si>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</si>
  <si>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</si>
  <si>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</si>
  <si>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</si>
  <si>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</si>
  <si>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</si>
  <si>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</si>
  <si>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</si>
  <si>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</si>
  <si>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</si>
  <si>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</si>
  <si>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</si>
  <si>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</si>
  <si>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</si>
  <si>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</si>
  <si>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</si>
  <si>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</si>
  <si>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</si>
  <si>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</si>
  <si>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</si>
  <si>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</si>
  <si>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</si>
  <si>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</si>
  <si>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</si>
  <si>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</si>
  <si>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</si>
  <si>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</si>
  <si>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</si>
  <si>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</si>
  <si>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</si>
  <si>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</si>
  <si>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</si>
  <si>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</si>
  <si>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</si>
  <si>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</si>
  <si>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</si>
  <si>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</si>
  <si>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</si>
  <si>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</si>
  <si>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</si>
  <si>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</si>
  <si>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</si>
  <si>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</si>
  <si>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</si>
  <si>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</si>
  <si>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</si>
  <si>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</si>
  <si>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</si>
  <si>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</si>
  <si>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</si>
  <si>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</si>
  <si>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</si>
  <si>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041 1 13 02995 13 0000 130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</si>
  <si>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</si>
  <si>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</si>
  <si>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</si>
  <si>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</si>
  <si>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</si>
  <si>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000 1 14 02050 13 0000 410</t>
  </si>
  <si>
    <t>000 1 14 02053 13 0000 410</t>
  </si>
  <si>
    <t>000 2 02 25299 00 0000 150</t>
  </si>
  <si>
    <t>000 2 02 25299 13 0000 150</t>
  </si>
  <si>
    <t>035 2 02 25299 13 0000 150</t>
  </si>
  <si>
    <t>000 1 14 02000 00 0000 000</t>
  </si>
  <si>
    <t>041 1 14 02053 13 0000 410</t>
  </si>
  <si>
    <t>044 1 16 07010 13 0000 140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</si>
  <si>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</si>
  <si>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</si>
  <si>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</si>
  <si>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</si>
  <si>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035 1 16 07010 13 0000 140</t>
  </si>
  <si>
    <t>Прочие неналоговые доходы</t>
  </si>
  <si>
    <t>Прочие неналоговые доходы бюджетов городских поселений</t>
  </si>
  <si>
    <t>000 1 17 05000 00 0000 180</t>
  </si>
  <si>
    <t xml:space="preserve">000 1 17 05050 13 0000 180
</t>
  </si>
  <si>
    <t>035 1 17 05050 13 0000 180</t>
  </si>
  <si>
    <t>Приложение № 1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</si>
  <si>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</si>
  <si>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</si>
  <si>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</si>
  <si>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</si>
  <si>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Доходы бюджета Южского городского поселения по кодам</t>
  </si>
  <si>
    <t>"Об утверждении отчёта об    
исполнении бюджета Южского    
городского поселения за 2021 год"</t>
  </si>
  <si>
    <t>классификации доходов бюджетов за 2021 год</t>
  </si>
  <si>
    <t>Код классификации доходов бюджетов Российской Федерации</t>
  </si>
  <si>
    <t>Наименование доходов</t>
  </si>
  <si>
    <t>Процент исполнения (%)</t>
  </si>
  <si>
    <t>Решением Совета Южского городского поселения от 23.12.2020 № 38 "О бюджете Южского городского поселения на 2021 год и на плановый период 2022 и 2023 годов", (руб.)</t>
  </si>
  <si>
    <t>Решением Совета Южского городского поселения от 23.12.2020 № 38 "О бюджете Южского городского поселения на 2021 год и на плановый период 2022 и 2023 годов" с учетом изменений на отчетную дату, (руб.)</t>
  </si>
  <si>
    <t>Исполнено за 2021 год                (руб.)</t>
  </si>
  <si>
    <t>Утверждено на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</si>
</sst>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2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shrinkToFit="1"/>
    </xf>
    <xf numFmtId="4" fontId="1" fillId="0" borderId="10" xfId="0" applyNumberFormat="1" applyFont="1" applyFill="1" applyBorder="1" applyAlignment="1">
      <alignment vertical="top" wrapText="1" shrinkToFit="1"/>
    </xf>
    <xf numFmtId="4" fontId="2" fillId="0" borderId="10" xfId="0" applyNumberFormat="1" applyFont="1" applyFill="1" applyBorder="1" applyAlignment="1" applyProtection="1">
      <alignment vertical="top" shrinkToFit="1"/>
      <protection locked="0"/>
    </xf>
    <xf numFmtId="4" fontId="1" fillId="0" borderId="10" xfId="0" applyNumberFormat="1" applyFont="1" applyFill="1" applyBorder="1" applyAlignment="1" applyProtection="1">
      <alignment vertical="top" shrinkToFit="1"/>
      <protection locked="0"/>
    </xf>
    <xf numFmtId="4" fontId="1" fillId="0" borderId="0" xfId="0" applyNumberFormat="1" applyFont="1" applyFill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vertical="top" shrinkToFit="1"/>
      <protection locked="0"/>
    </xf>
    <xf numFmtId="4" fontId="1" fillId="0" borderId="12" xfId="0" applyNumberFormat="1" applyFont="1" applyFill="1" applyBorder="1" applyAlignment="1" applyProtection="1">
      <alignment vertical="top" shrinkToFit="1"/>
      <protection locked="0"/>
    </xf>
    <xf numFmtId="4" fontId="2" fillId="0" borderId="10" xfId="0" applyNumberFormat="1" applyFont="1" applyFill="1" applyBorder="1" applyAlignment="1" applyProtection="1">
      <alignment vertical="center" shrinkToFit="1"/>
      <protection locked="0"/>
    </xf>
    <xf numFmtId="4" fontId="2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88">
      <selection activeCell="A1" sqref="A1:F1"/>
    </sheetView>
  </sheetViews>
  <sheetFormatPr defaultColWidth="9.00390625" defaultRowHeight="12.75"/>
  <cols>
    <col min="1" max="1" width="35.125" style="2" customWidth="1"/>
    <col min="2" max="2" width="48.375" style="4" customWidth="1"/>
    <col min="3" max="3" width="21.25390625" style="4" customWidth="1"/>
    <col min="4" max="4" width="21.75390625" style="4" customWidth="1"/>
    <col min="5" max="5" width="20.625" style="5" customWidth="1"/>
    <col min="6" max="6" width="14.875" style="4" customWidth="1"/>
    <col min="7" max="16384" width="9.125" style="4" customWidth="1"/>
  </cols>
  <sheetData>
    <row r="1" spans="1:6" ht="18.75">
      <c r="A1" s="62" t="s">
        <v>190</v>
      </c>
      <c r="B1" s="62"/>
      <c r="C1" s="62"/>
      <c r="D1" s="62"/>
      <c r="E1" s="62"/>
      <c r="F1" s="62"/>
    </row>
    <row r="2" spans="1:6" ht="18" customHeight="1">
      <c r="A2" s="62" t="s">
        <v>191</v>
      </c>
      <c r="B2" s="62"/>
      <c r="C2" s="62"/>
      <c r="D2" s="62"/>
      <c r="E2" s="62"/>
      <c r="F2" s="62"/>
    </row>
    <row r="3" spans="1:6" ht="18.75">
      <c r="A3" s="62" t="s">
        <v>192</v>
      </c>
      <c r="B3" s="62"/>
      <c r="C3" s="62"/>
      <c r="D3" s="62"/>
      <c r="E3" s="62"/>
      <c r="F3" s="62"/>
    </row>
    <row r="4" spans="1:6" ht="18.75" customHeight="1">
      <c r="A4" s="62" t="s">
        <v>193</v>
      </c>
      <c r="B4" s="62"/>
      <c r="C4" s="62"/>
      <c r="D4" s="62"/>
      <c r="E4" s="62"/>
      <c r="F4" s="62"/>
    </row>
    <row r="5" spans="1:6" ht="57.75" customHeight="1">
      <c r="A5" s="62" t="s">
        <v>196</v>
      </c>
      <c r="B5" s="62"/>
      <c r="C5" s="62"/>
      <c r="D5" s="62"/>
      <c r="E5" s="62"/>
      <c r="F5" s="62"/>
    </row>
    <row r="6" spans="1:6" ht="24.75" customHeight="1">
      <c r="A6" s="62" t="s">
        <v>194</v>
      </c>
      <c r="B6" s="62"/>
      <c r="C6" s="62"/>
      <c r="D6" s="62"/>
      <c r="E6" s="62"/>
      <c r="F6" s="62"/>
    </row>
    <row r="7" spans="2:6" ht="18.75">
      <c r="B7" s="3"/>
      <c r="C7" s="3"/>
      <c r="D7" s="3"/>
      <c r="E7" s="3"/>
      <c r="F7" s="3"/>
    </row>
    <row r="8" spans="1:6" ht="18" customHeight="1">
      <c r="A8" s="63" t="s">
        <v>195</v>
      </c>
      <c r="B8" s="63"/>
      <c r="C8" s="63"/>
      <c r="D8" s="63"/>
      <c r="E8" s="63"/>
      <c r="F8" s="63"/>
    </row>
    <row r="9" spans="1:6" ht="18.75" customHeight="1">
      <c r="A9" s="63" t="s">
        <v>197</v>
      </c>
      <c r="B9" s="63"/>
      <c r="C9" s="63"/>
      <c r="D9" s="63"/>
      <c r="E9" s="63"/>
      <c r="F9" s="63"/>
    </row>
    <row r="10" spans="1:6" ht="18.75">
      <c r="A10" s="6"/>
      <c r="B10" s="6"/>
      <c r="C10" s="6"/>
      <c r="F10" s="3"/>
    </row>
    <row r="11" spans="1:6" ht="18.75">
      <c r="A11" s="66" t="s">
        <v>198</v>
      </c>
      <c r="B11" s="66" t="s">
        <v>199</v>
      </c>
      <c r="C11" s="64" t="s">
        <v>204</v>
      </c>
      <c r="D11" s="65"/>
      <c r="E11" s="66" t="s">
        <v>203</v>
      </c>
      <c r="F11" s="66" t="s">
        <v>200</v>
      </c>
    </row>
    <row r="12" spans="1:6" ht="302.25" customHeight="1">
      <c r="A12" s="67"/>
      <c r="B12" s="67"/>
      <c r="C12" s="57" t="s">
        <v>201</v>
      </c>
      <c r="D12" s="7" t="s">
        <v>202</v>
      </c>
      <c r="E12" s="67"/>
      <c r="F12" s="67"/>
    </row>
    <row r="13" spans="1:6" s="61" customFormat="1" ht="18.75">
      <c r="A13" s="58">
        <v>1</v>
      </c>
      <c r="B13" s="58">
        <v>2</v>
      </c>
      <c r="C13" s="59">
        <v>3</v>
      </c>
      <c r="D13" s="60">
        <v>4</v>
      </c>
      <c r="E13" s="60">
        <v>5</v>
      </c>
      <c r="F13" s="60">
        <v>6</v>
      </c>
    </row>
    <row r="14" spans="1:7" s="22" customFormat="1" ht="37.5">
      <c r="A14" s="10" t="s">
        <v>9</v>
      </c>
      <c r="B14" s="11" t="s">
        <v>24</v>
      </c>
      <c r="C14" s="44">
        <f>C15+C23+C37+C48+C59+C65+C74+C83</f>
        <v>47796660.82</v>
      </c>
      <c r="D14" s="12">
        <f>D15+D23+D37+D48+D59+D65+D74+D83</f>
        <v>51270031.870000005</v>
      </c>
      <c r="E14" s="12">
        <f>E15+E23+E37+E48+E59+E65+E74+E83</f>
        <v>54567562.72</v>
      </c>
      <c r="F14" s="12">
        <f>E14/D14*100</f>
        <v>106.43169260819107</v>
      </c>
      <c r="G14" s="43"/>
    </row>
    <row r="15" spans="1:6" s="22" customFormat="1" ht="18.75">
      <c r="A15" s="10" t="s">
        <v>54</v>
      </c>
      <c r="B15" s="13" t="s">
        <v>62</v>
      </c>
      <c r="C15" s="44">
        <f>C16</f>
        <v>39825000</v>
      </c>
      <c r="D15" s="12">
        <f>D16</f>
        <v>39864664.88</v>
      </c>
      <c r="E15" s="12">
        <f>E16</f>
        <v>42440452.55</v>
      </c>
      <c r="F15" s="12">
        <f aca="true" t="shared" si="0" ref="F15:F78">E15/D15*100</f>
        <v>106.46133029778022</v>
      </c>
    </row>
    <row r="16" spans="1:6" ht="18.75">
      <c r="A16" s="9" t="s">
        <v>36</v>
      </c>
      <c r="B16" s="14" t="s">
        <v>63</v>
      </c>
      <c r="C16" s="45">
        <f>C17+C19+C21</f>
        <v>39825000</v>
      </c>
      <c r="D16" s="15">
        <f>D17+D19+D21</f>
        <v>39864664.88</v>
      </c>
      <c r="E16" s="15">
        <f>E17+E19+E21</f>
        <v>42440452.55</v>
      </c>
      <c r="F16" s="15">
        <f t="shared" si="0"/>
        <v>106.46133029778022</v>
      </c>
    </row>
    <row r="17" spans="1:6" ht="150">
      <c r="A17" s="9" t="s">
        <v>19</v>
      </c>
      <c r="B17" s="14" t="s">
        <v>64</v>
      </c>
      <c r="C17" s="46">
        <f>C18</f>
        <v>39600000</v>
      </c>
      <c r="D17" s="16">
        <f>D18</f>
        <v>39267163.580000006</v>
      </c>
      <c r="E17" s="16">
        <f>E18</f>
        <v>41834688.08</v>
      </c>
      <c r="F17" s="15">
        <f t="shared" si="0"/>
        <v>106.53860443667928</v>
      </c>
    </row>
    <row r="18" spans="1:6" ht="150">
      <c r="A18" s="9" t="s">
        <v>37</v>
      </c>
      <c r="B18" s="14" t="s">
        <v>64</v>
      </c>
      <c r="C18" s="45">
        <f>39600000</f>
        <v>39600000</v>
      </c>
      <c r="D18" s="16">
        <f>39600000-293408.9-34642.4-2785.12-2000</f>
        <v>39267163.580000006</v>
      </c>
      <c r="E18" s="17">
        <f>41834688.08</f>
        <v>41834688.08</v>
      </c>
      <c r="F18" s="15">
        <f t="shared" si="0"/>
        <v>106.53860443667928</v>
      </c>
    </row>
    <row r="19" spans="1:6" ht="206.25" customHeight="1">
      <c r="A19" s="9" t="s">
        <v>20</v>
      </c>
      <c r="B19" s="14" t="s">
        <v>25</v>
      </c>
      <c r="C19" s="46">
        <f>C20</f>
        <v>112500</v>
      </c>
      <c r="D19" s="16">
        <f>D20</f>
        <v>211993.55</v>
      </c>
      <c r="E19" s="16">
        <f>E20</f>
        <v>210667.21</v>
      </c>
      <c r="F19" s="15">
        <f t="shared" si="0"/>
        <v>99.37434888938839</v>
      </c>
    </row>
    <row r="20" spans="1:6" ht="205.5" customHeight="1">
      <c r="A20" s="9" t="s">
        <v>10</v>
      </c>
      <c r="B20" s="14" t="s">
        <v>25</v>
      </c>
      <c r="C20" s="45">
        <f>112500</f>
        <v>112500</v>
      </c>
      <c r="D20" s="18">
        <f>112500-20000-20000+84816.53+19477.02+35200</f>
        <v>211993.55</v>
      </c>
      <c r="E20" s="17">
        <f>210667.21</f>
        <v>210667.21</v>
      </c>
      <c r="F20" s="15">
        <f t="shared" si="0"/>
        <v>99.37434888938839</v>
      </c>
    </row>
    <row r="21" spans="1:6" ht="93.75">
      <c r="A21" s="9" t="s">
        <v>55</v>
      </c>
      <c r="B21" s="14" t="s">
        <v>26</v>
      </c>
      <c r="C21" s="47">
        <f>C22</f>
        <v>112500</v>
      </c>
      <c r="D21" s="18">
        <f>D22</f>
        <v>385507.75</v>
      </c>
      <c r="E21" s="18">
        <f>E22</f>
        <v>395097.26</v>
      </c>
      <c r="F21" s="15">
        <f t="shared" si="0"/>
        <v>102.48750122403504</v>
      </c>
    </row>
    <row r="22" spans="1:6" ht="93.75">
      <c r="A22" s="9" t="s">
        <v>56</v>
      </c>
      <c r="B22" s="14" t="s">
        <v>26</v>
      </c>
      <c r="C22" s="45">
        <f>112500</f>
        <v>112500</v>
      </c>
      <c r="D22" s="19">
        <f>112500+20000+20000+208592.37+15165.38+7250+2000</f>
        <v>385507.75</v>
      </c>
      <c r="E22" s="17">
        <f>395097.26</f>
        <v>395097.26</v>
      </c>
      <c r="F22" s="15">
        <f t="shared" si="0"/>
        <v>102.48750122403504</v>
      </c>
    </row>
    <row r="23" spans="1:6" s="22" customFormat="1" ht="75">
      <c r="A23" s="10" t="s">
        <v>57</v>
      </c>
      <c r="B23" s="13" t="s">
        <v>18</v>
      </c>
      <c r="C23" s="48">
        <f>C24</f>
        <v>2316660.8200000003</v>
      </c>
      <c r="D23" s="20">
        <f>D24</f>
        <v>2332722.8200000003</v>
      </c>
      <c r="E23" s="20">
        <f>E24</f>
        <v>2439686.44</v>
      </c>
      <c r="F23" s="12">
        <f t="shared" si="0"/>
        <v>104.58535489441473</v>
      </c>
    </row>
    <row r="24" spans="1:6" ht="56.25">
      <c r="A24" s="9" t="s">
        <v>16</v>
      </c>
      <c r="B24" s="14" t="s">
        <v>27</v>
      </c>
      <c r="C24" s="49">
        <f>C25+C28+C31+C34</f>
        <v>2316660.8200000003</v>
      </c>
      <c r="D24" s="19">
        <f>D25+D28+D31+D34</f>
        <v>2332722.8200000003</v>
      </c>
      <c r="E24" s="19">
        <f>E25+E28+E31+E34</f>
        <v>2439686.44</v>
      </c>
      <c r="F24" s="15">
        <f t="shared" si="0"/>
        <v>104.58535489441473</v>
      </c>
    </row>
    <row r="25" spans="1:6" ht="132.75" customHeight="1">
      <c r="A25" s="9" t="s">
        <v>23</v>
      </c>
      <c r="B25" s="14" t="s">
        <v>100</v>
      </c>
      <c r="C25" s="49">
        <f>C27</f>
        <v>837839.35</v>
      </c>
      <c r="D25" s="19">
        <f>D27</f>
        <v>1023428.79</v>
      </c>
      <c r="E25" s="19">
        <f>E27</f>
        <v>1126304.64</v>
      </c>
      <c r="F25" s="15">
        <f t="shared" si="0"/>
        <v>110.05207699892827</v>
      </c>
    </row>
    <row r="26" spans="1:6" ht="224.25" customHeight="1">
      <c r="A26" s="9" t="s">
        <v>99</v>
      </c>
      <c r="B26" s="21" t="s">
        <v>98</v>
      </c>
      <c r="C26" s="49">
        <f>C27</f>
        <v>837839.35</v>
      </c>
      <c r="D26" s="19">
        <f>D27</f>
        <v>1023428.79</v>
      </c>
      <c r="E26" s="19">
        <f>E27</f>
        <v>1126304.64</v>
      </c>
      <c r="F26" s="15">
        <f t="shared" si="0"/>
        <v>110.05207699892827</v>
      </c>
    </row>
    <row r="27" spans="1:6" s="22" customFormat="1" ht="224.25" customHeight="1">
      <c r="A27" s="8" t="s">
        <v>97</v>
      </c>
      <c r="B27" s="21" t="s">
        <v>98</v>
      </c>
      <c r="C27" s="45">
        <f>837839.35</f>
        <v>837839.35</v>
      </c>
      <c r="D27" s="19">
        <f>837839.35+25000+50234.44+106355+4000</f>
        <v>1023428.79</v>
      </c>
      <c r="E27" s="17">
        <f>1126304.64</f>
        <v>1126304.64</v>
      </c>
      <c r="F27" s="15">
        <f t="shared" si="0"/>
        <v>110.05207699892827</v>
      </c>
    </row>
    <row r="28" spans="1:6" ht="168" customHeight="1">
      <c r="A28" s="9" t="s">
        <v>22</v>
      </c>
      <c r="B28" s="14" t="s">
        <v>104</v>
      </c>
      <c r="C28" s="19">
        <f>C30</f>
        <v>5363.51</v>
      </c>
      <c r="D28" s="19">
        <f>D30</f>
        <v>7235.37</v>
      </c>
      <c r="E28" s="19">
        <f>E30</f>
        <v>7920.99</v>
      </c>
      <c r="F28" s="15">
        <f t="shared" si="0"/>
        <v>109.47594939857947</v>
      </c>
    </row>
    <row r="29" spans="1:6" ht="261.75" customHeight="1">
      <c r="A29" s="9" t="s">
        <v>103</v>
      </c>
      <c r="B29" s="21" t="s">
        <v>102</v>
      </c>
      <c r="C29" s="49">
        <f>C30</f>
        <v>5363.51</v>
      </c>
      <c r="D29" s="19">
        <f>D30</f>
        <v>7235.37</v>
      </c>
      <c r="E29" s="19">
        <f>E30</f>
        <v>7920.99</v>
      </c>
      <c r="F29" s="15">
        <f t="shared" si="0"/>
        <v>109.47594939857947</v>
      </c>
    </row>
    <row r="30" spans="1:6" ht="261.75" customHeight="1">
      <c r="A30" s="9" t="s">
        <v>101</v>
      </c>
      <c r="B30" s="21" t="s">
        <v>102</v>
      </c>
      <c r="C30" s="45">
        <f>5363.51</f>
        <v>5363.51</v>
      </c>
      <c r="D30" s="19">
        <f>5363.51+1000+164.86+707</f>
        <v>7235.37</v>
      </c>
      <c r="E30" s="17">
        <f>7920.99</f>
        <v>7920.99</v>
      </c>
      <c r="F30" s="15">
        <f t="shared" si="0"/>
        <v>109.47594939857947</v>
      </c>
    </row>
    <row r="31" spans="1:6" ht="148.5" customHeight="1">
      <c r="A31" s="9" t="s">
        <v>21</v>
      </c>
      <c r="B31" s="14" t="s">
        <v>108</v>
      </c>
      <c r="C31" s="49">
        <f aca="true" t="shared" si="1" ref="C31:E32">C32</f>
        <v>1625178.97</v>
      </c>
      <c r="D31" s="19">
        <f t="shared" si="1"/>
        <v>1477779.67</v>
      </c>
      <c r="E31" s="19">
        <f t="shared" si="1"/>
        <v>1497524.66</v>
      </c>
      <c r="F31" s="15">
        <f t="shared" si="0"/>
        <v>101.33612543201383</v>
      </c>
    </row>
    <row r="32" spans="1:6" ht="225" customHeight="1">
      <c r="A32" s="9" t="s">
        <v>107</v>
      </c>
      <c r="B32" s="21" t="s">
        <v>106</v>
      </c>
      <c r="C32" s="49">
        <f t="shared" si="1"/>
        <v>1625178.97</v>
      </c>
      <c r="D32" s="19">
        <f t="shared" si="1"/>
        <v>1477779.67</v>
      </c>
      <c r="E32" s="19">
        <f t="shared" si="1"/>
        <v>1497524.66</v>
      </c>
      <c r="F32" s="15">
        <f t="shared" si="0"/>
        <v>101.33612543201383</v>
      </c>
    </row>
    <row r="33" spans="1:6" ht="224.25" customHeight="1">
      <c r="A33" s="8" t="s">
        <v>105</v>
      </c>
      <c r="B33" s="21" t="s">
        <v>106</v>
      </c>
      <c r="C33" s="45">
        <f>1625178.97</f>
        <v>1625178.97</v>
      </c>
      <c r="D33" s="19">
        <f>1625178.97-25000-40399.3-80000-2000</f>
        <v>1477779.67</v>
      </c>
      <c r="E33" s="17">
        <f>1497524.66</f>
        <v>1497524.66</v>
      </c>
      <c r="F33" s="15">
        <f t="shared" si="0"/>
        <v>101.33612543201383</v>
      </c>
    </row>
    <row r="34" spans="1:6" ht="148.5" customHeight="1">
      <c r="A34" s="9" t="s">
        <v>38</v>
      </c>
      <c r="B34" s="14" t="s">
        <v>112</v>
      </c>
      <c r="C34" s="49">
        <f aca="true" t="shared" si="2" ref="C34:E35">C35</f>
        <v>-151721.01</v>
      </c>
      <c r="D34" s="19">
        <f t="shared" si="2"/>
        <v>-175721.01</v>
      </c>
      <c r="E34" s="19">
        <f t="shared" si="2"/>
        <v>-192063.85</v>
      </c>
      <c r="F34" s="15">
        <f t="shared" si="0"/>
        <v>109.30044733979163</v>
      </c>
    </row>
    <row r="35" spans="1:6" ht="226.5" customHeight="1">
      <c r="A35" s="9" t="s">
        <v>111</v>
      </c>
      <c r="B35" s="21" t="s">
        <v>110</v>
      </c>
      <c r="C35" s="49">
        <f t="shared" si="2"/>
        <v>-151721.01</v>
      </c>
      <c r="D35" s="19">
        <f t="shared" si="2"/>
        <v>-175721.01</v>
      </c>
      <c r="E35" s="19">
        <f t="shared" si="2"/>
        <v>-192063.85</v>
      </c>
      <c r="F35" s="15">
        <f t="shared" si="0"/>
        <v>109.30044733979163</v>
      </c>
    </row>
    <row r="36" spans="1:6" ht="225.75" customHeight="1">
      <c r="A36" s="8" t="s">
        <v>109</v>
      </c>
      <c r="B36" s="21" t="s">
        <v>110</v>
      </c>
      <c r="C36" s="45">
        <f>-151721.01</f>
        <v>-151721.01</v>
      </c>
      <c r="D36" s="19">
        <f>-151721.01-1000-10000-11000-2000</f>
        <v>-175721.01</v>
      </c>
      <c r="E36" s="17">
        <f>-192063.85</f>
        <v>-192063.85</v>
      </c>
      <c r="F36" s="15">
        <f t="shared" si="0"/>
        <v>109.30044733979163</v>
      </c>
    </row>
    <row r="37" spans="1:6" s="22" customFormat="1" ht="18.75">
      <c r="A37" s="10" t="s">
        <v>39</v>
      </c>
      <c r="B37" s="13" t="s">
        <v>28</v>
      </c>
      <c r="C37" s="44">
        <f>C38+C41</f>
        <v>4025000</v>
      </c>
      <c r="D37" s="12">
        <f>D38+D41</f>
        <v>4085427.4899999998</v>
      </c>
      <c r="E37" s="12">
        <f>E38+E41</f>
        <v>4189687.8199999994</v>
      </c>
      <c r="F37" s="12">
        <f t="shared" si="0"/>
        <v>102.5520053961354</v>
      </c>
    </row>
    <row r="38" spans="1:6" ht="18.75">
      <c r="A38" s="9" t="s">
        <v>40</v>
      </c>
      <c r="B38" s="14" t="s">
        <v>29</v>
      </c>
      <c r="C38" s="45">
        <f aca="true" t="shared" si="3" ref="C38:E39">C39</f>
        <v>925000</v>
      </c>
      <c r="D38" s="15">
        <f t="shared" si="3"/>
        <v>1888698.48</v>
      </c>
      <c r="E38" s="15">
        <f t="shared" si="3"/>
        <v>1946801.72</v>
      </c>
      <c r="F38" s="15">
        <f t="shared" si="0"/>
        <v>103.07636399432059</v>
      </c>
    </row>
    <row r="39" spans="1:6" ht="93.75">
      <c r="A39" s="9" t="s">
        <v>41</v>
      </c>
      <c r="B39" s="14" t="s">
        <v>30</v>
      </c>
      <c r="C39" s="45">
        <f t="shared" si="3"/>
        <v>925000</v>
      </c>
      <c r="D39" s="15">
        <f t="shared" si="3"/>
        <v>1888698.48</v>
      </c>
      <c r="E39" s="15">
        <f t="shared" si="3"/>
        <v>1946801.72</v>
      </c>
      <c r="F39" s="15">
        <f t="shared" si="0"/>
        <v>103.07636399432059</v>
      </c>
    </row>
    <row r="40" spans="1:6" ht="93.75">
      <c r="A40" s="9" t="s">
        <v>42</v>
      </c>
      <c r="B40" s="14" t="s">
        <v>30</v>
      </c>
      <c r="C40" s="45">
        <f>925000</f>
        <v>925000</v>
      </c>
      <c r="D40" s="19">
        <f>925000+25693.21+224269.26+625700+88036.01</f>
        <v>1888698.48</v>
      </c>
      <c r="E40" s="17">
        <f>1946801.72</f>
        <v>1946801.72</v>
      </c>
      <c r="F40" s="15">
        <f t="shared" si="0"/>
        <v>103.07636399432059</v>
      </c>
    </row>
    <row r="41" spans="1:6" ht="18.75">
      <c r="A41" s="9" t="s">
        <v>43</v>
      </c>
      <c r="B41" s="14" t="s">
        <v>31</v>
      </c>
      <c r="C41" s="45">
        <f>C42+C45</f>
        <v>3100000</v>
      </c>
      <c r="D41" s="15">
        <f>D42+D45</f>
        <v>2196729.01</v>
      </c>
      <c r="E41" s="15">
        <f>E42+E45</f>
        <v>2242886.0999999996</v>
      </c>
      <c r="F41" s="15">
        <f t="shared" si="0"/>
        <v>102.10117359901392</v>
      </c>
    </row>
    <row r="42" spans="1:6" ht="18.75">
      <c r="A42" s="9" t="s">
        <v>44</v>
      </c>
      <c r="B42" s="14" t="s">
        <v>32</v>
      </c>
      <c r="C42" s="45">
        <f aca="true" t="shared" si="4" ref="C42:E43">C43</f>
        <v>1450000</v>
      </c>
      <c r="D42" s="15">
        <f t="shared" si="4"/>
        <v>762774.78</v>
      </c>
      <c r="E42" s="15">
        <f t="shared" si="4"/>
        <v>758142.7</v>
      </c>
      <c r="F42" s="15">
        <f t="shared" si="0"/>
        <v>99.39273293749957</v>
      </c>
    </row>
    <row r="43" spans="1:6" ht="75">
      <c r="A43" s="9" t="s">
        <v>45</v>
      </c>
      <c r="B43" s="14" t="s">
        <v>33</v>
      </c>
      <c r="C43" s="45">
        <f t="shared" si="4"/>
        <v>1450000</v>
      </c>
      <c r="D43" s="15">
        <f t="shared" si="4"/>
        <v>762774.78</v>
      </c>
      <c r="E43" s="15">
        <f t="shared" si="4"/>
        <v>758142.7</v>
      </c>
      <c r="F43" s="15">
        <f t="shared" si="0"/>
        <v>99.39273293749957</v>
      </c>
    </row>
    <row r="44" spans="1:6" ht="75">
      <c r="A44" s="9" t="s">
        <v>46</v>
      </c>
      <c r="B44" s="14" t="s">
        <v>33</v>
      </c>
      <c r="C44" s="45">
        <f>1450000</f>
        <v>1450000</v>
      </c>
      <c r="D44" s="15">
        <f>1450000-100222.23-208266.98-290700-88036.01</f>
        <v>762774.78</v>
      </c>
      <c r="E44" s="17">
        <f>758142.7</f>
        <v>758142.7</v>
      </c>
      <c r="F44" s="15">
        <f t="shared" si="0"/>
        <v>99.39273293749957</v>
      </c>
    </row>
    <row r="45" spans="1:6" ht="18.75">
      <c r="A45" s="8" t="s">
        <v>52</v>
      </c>
      <c r="B45" s="14" t="s">
        <v>65</v>
      </c>
      <c r="C45" s="46">
        <f aca="true" t="shared" si="5" ref="C45:E46">C46</f>
        <v>1650000</v>
      </c>
      <c r="D45" s="16">
        <f t="shared" si="5"/>
        <v>1433954.23</v>
      </c>
      <c r="E45" s="16">
        <f t="shared" si="5"/>
        <v>1484743.4</v>
      </c>
      <c r="F45" s="15">
        <f t="shared" si="0"/>
        <v>103.54189617335274</v>
      </c>
    </row>
    <row r="46" spans="1:6" ht="75">
      <c r="A46" s="9" t="s">
        <v>47</v>
      </c>
      <c r="B46" s="14" t="s">
        <v>34</v>
      </c>
      <c r="C46" s="46">
        <f t="shared" si="5"/>
        <v>1650000</v>
      </c>
      <c r="D46" s="16">
        <f t="shared" si="5"/>
        <v>1433954.23</v>
      </c>
      <c r="E46" s="16">
        <f t="shared" si="5"/>
        <v>1484743.4</v>
      </c>
      <c r="F46" s="15">
        <f t="shared" si="0"/>
        <v>103.54189617335274</v>
      </c>
    </row>
    <row r="47" spans="1:6" ht="75">
      <c r="A47" s="9" t="s">
        <v>48</v>
      </c>
      <c r="B47" s="14" t="s">
        <v>34</v>
      </c>
      <c r="C47" s="45">
        <f>1650000</f>
        <v>1650000</v>
      </c>
      <c r="D47" s="16">
        <f>1650000-106000-192501.8+82456.03</f>
        <v>1433954.23</v>
      </c>
      <c r="E47" s="17">
        <f>1484743.4</f>
        <v>1484743.4</v>
      </c>
      <c r="F47" s="15">
        <f t="shared" si="0"/>
        <v>103.54189617335274</v>
      </c>
    </row>
    <row r="48" spans="1:6" s="22" customFormat="1" ht="93.75">
      <c r="A48" s="10" t="s">
        <v>11</v>
      </c>
      <c r="B48" s="13" t="s">
        <v>66</v>
      </c>
      <c r="C48" s="48">
        <f>C49</f>
        <v>1590000</v>
      </c>
      <c r="D48" s="20">
        <f>D49</f>
        <v>3295717.86</v>
      </c>
      <c r="E48" s="20">
        <f>E49</f>
        <v>3744112.32</v>
      </c>
      <c r="F48" s="12">
        <f t="shared" si="0"/>
        <v>113.60536547870636</v>
      </c>
    </row>
    <row r="49" spans="1:6" ht="170.25" customHeight="1">
      <c r="A49" s="9" t="s">
        <v>12</v>
      </c>
      <c r="B49" s="14" t="s">
        <v>78</v>
      </c>
      <c r="C49" s="49">
        <f>C50+C53+C56</f>
        <v>1590000</v>
      </c>
      <c r="D49" s="19">
        <f>D50+D53+D56</f>
        <v>3295717.86</v>
      </c>
      <c r="E49" s="19">
        <f>E50+E53+E56</f>
        <v>3744112.32</v>
      </c>
      <c r="F49" s="15">
        <f t="shared" si="0"/>
        <v>113.60536547870636</v>
      </c>
    </row>
    <row r="50" spans="1:6" ht="131.25">
      <c r="A50" s="9" t="s">
        <v>14</v>
      </c>
      <c r="B50" s="14" t="s">
        <v>8</v>
      </c>
      <c r="C50" s="49">
        <f aca="true" t="shared" si="6" ref="C50:E51">C51</f>
        <v>700000</v>
      </c>
      <c r="D50" s="19">
        <f t="shared" si="6"/>
        <v>1292602.66</v>
      </c>
      <c r="E50" s="19">
        <f t="shared" si="6"/>
        <v>1452180.16</v>
      </c>
      <c r="F50" s="15">
        <f t="shared" si="0"/>
        <v>112.34544109633815</v>
      </c>
    </row>
    <row r="51" spans="1:6" ht="152.25" customHeight="1">
      <c r="A51" s="9" t="s">
        <v>50</v>
      </c>
      <c r="B51" s="14" t="s">
        <v>67</v>
      </c>
      <c r="C51" s="45">
        <f t="shared" si="6"/>
        <v>700000</v>
      </c>
      <c r="D51" s="15">
        <f t="shared" si="6"/>
        <v>1292602.66</v>
      </c>
      <c r="E51" s="15">
        <f t="shared" si="6"/>
        <v>1452180.16</v>
      </c>
      <c r="F51" s="15">
        <f t="shared" si="0"/>
        <v>112.34544109633815</v>
      </c>
    </row>
    <row r="52" spans="1:6" ht="151.5" customHeight="1">
      <c r="A52" s="9" t="s">
        <v>80</v>
      </c>
      <c r="B52" s="14" t="s">
        <v>68</v>
      </c>
      <c r="C52" s="50">
        <f>700000</f>
        <v>700000</v>
      </c>
      <c r="D52" s="16">
        <f>700000+50000+242138.96+141972.32+143000+15491.38</f>
        <v>1292602.66</v>
      </c>
      <c r="E52" s="17">
        <f>1452180.16</f>
        <v>1452180.16</v>
      </c>
      <c r="F52" s="15">
        <f t="shared" si="0"/>
        <v>112.34544109633815</v>
      </c>
    </row>
    <row r="53" spans="1:6" ht="152.25" customHeight="1">
      <c r="A53" s="23" t="s">
        <v>53</v>
      </c>
      <c r="B53" s="14" t="s">
        <v>69</v>
      </c>
      <c r="C53" s="49">
        <f>C54</f>
        <v>90000</v>
      </c>
      <c r="D53" s="19">
        <f>D54</f>
        <v>267660.66000000003</v>
      </c>
      <c r="E53" s="19">
        <f>E54</f>
        <v>336766.68</v>
      </c>
      <c r="F53" s="15">
        <f t="shared" si="0"/>
        <v>125.81851961360326</v>
      </c>
    </row>
    <row r="54" spans="1:6" ht="150">
      <c r="A54" s="9" t="s">
        <v>49</v>
      </c>
      <c r="B54" s="14" t="s">
        <v>70</v>
      </c>
      <c r="C54" s="49">
        <f>SUM(C55:C55)</f>
        <v>90000</v>
      </c>
      <c r="D54" s="19">
        <f>SUM(D55:D55)</f>
        <v>267660.66000000003</v>
      </c>
      <c r="E54" s="19">
        <f>SUM(E55:E55)</f>
        <v>336766.68</v>
      </c>
      <c r="F54" s="15">
        <f t="shared" si="0"/>
        <v>125.81851961360326</v>
      </c>
    </row>
    <row r="55" spans="1:6" ht="150">
      <c r="A55" s="9" t="s">
        <v>113</v>
      </c>
      <c r="B55" s="14" t="s">
        <v>71</v>
      </c>
      <c r="C55" s="45">
        <f>90000</f>
        <v>90000</v>
      </c>
      <c r="D55" s="19">
        <f>90000+200+395.03+17112.75+25343.06+8503.62+12624.25+18981.95+1700+92800</f>
        <v>267660.66000000003</v>
      </c>
      <c r="E55" s="19">
        <f>336766.68</f>
        <v>336766.68</v>
      </c>
      <c r="F55" s="15">
        <f t="shared" si="0"/>
        <v>125.81851961360326</v>
      </c>
    </row>
    <row r="56" spans="1:6" ht="171.75" customHeight="1">
      <c r="A56" s="9" t="s">
        <v>15</v>
      </c>
      <c r="B56" s="14" t="s">
        <v>132</v>
      </c>
      <c r="C56" s="49">
        <f>C57</f>
        <v>800000</v>
      </c>
      <c r="D56" s="19">
        <f>D57</f>
        <v>1735454.54</v>
      </c>
      <c r="E56" s="19">
        <f>E57</f>
        <v>1955165.48</v>
      </c>
      <c r="F56" s="15">
        <f t="shared" si="0"/>
        <v>112.66013801778985</v>
      </c>
    </row>
    <row r="57" spans="1:6" ht="132" customHeight="1">
      <c r="A57" s="9" t="s">
        <v>51</v>
      </c>
      <c r="B57" s="14" t="s">
        <v>72</v>
      </c>
      <c r="C57" s="49">
        <f>SUM(C58:C58)</f>
        <v>800000</v>
      </c>
      <c r="D57" s="19">
        <f>SUM(D58:D58)</f>
        <v>1735454.54</v>
      </c>
      <c r="E57" s="19">
        <f>SUM(E58:E58)</f>
        <v>1955165.48</v>
      </c>
      <c r="F57" s="15">
        <f t="shared" si="0"/>
        <v>112.66013801778985</v>
      </c>
    </row>
    <row r="58" spans="1:6" ht="132.75" customHeight="1">
      <c r="A58" s="9" t="s">
        <v>114</v>
      </c>
      <c r="B58" s="14" t="s">
        <v>73</v>
      </c>
      <c r="C58" s="45">
        <f>800000</f>
        <v>800000</v>
      </c>
      <c r="D58" s="19">
        <f>800000+20000+142156.47+34806.05+50000+789234.01-139000-100000+138258.01</f>
        <v>1735454.54</v>
      </c>
      <c r="E58" s="19">
        <f>1955165.48</f>
        <v>1955165.48</v>
      </c>
      <c r="F58" s="15">
        <f t="shared" si="0"/>
        <v>112.66013801778985</v>
      </c>
    </row>
    <row r="59" spans="1:6" s="22" customFormat="1" ht="81" customHeight="1">
      <c r="A59" s="10" t="s">
        <v>156</v>
      </c>
      <c r="B59" s="24" t="s">
        <v>157</v>
      </c>
      <c r="C59" s="48">
        <f aca="true" t="shared" si="7" ref="C59:E61">C60</f>
        <v>0</v>
      </c>
      <c r="D59" s="20">
        <f t="shared" si="7"/>
        <v>777946.12</v>
      </c>
      <c r="E59" s="20">
        <f t="shared" si="7"/>
        <v>777946.12</v>
      </c>
      <c r="F59" s="12">
        <f t="shared" si="0"/>
        <v>100</v>
      </c>
    </row>
    <row r="60" spans="1:6" ht="41.25" customHeight="1">
      <c r="A60" s="9" t="s">
        <v>158</v>
      </c>
      <c r="B60" s="14" t="s">
        <v>159</v>
      </c>
      <c r="C60" s="49">
        <f t="shared" si="7"/>
        <v>0</v>
      </c>
      <c r="D60" s="19">
        <f t="shared" si="7"/>
        <v>777946.12</v>
      </c>
      <c r="E60" s="19">
        <f t="shared" si="7"/>
        <v>777946.12</v>
      </c>
      <c r="F60" s="15">
        <f t="shared" si="0"/>
        <v>100</v>
      </c>
    </row>
    <row r="61" spans="1:6" ht="41.25" customHeight="1">
      <c r="A61" s="9" t="s">
        <v>164</v>
      </c>
      <c r="B61" s="14" t="s">
        <v>163</v>
      </c>
      <c r="C61" s="49">
        <f t="shared" si="7"/>
        <v>0</v>
      </c>
      <c r="D61" s="19">
        <f t="shared" si="7"/>
        <v>777946.12</v>
      </c>
      <c r="E61" s="19">
        <f t="shared" si="7"/>
        <v>777946.12</v>
      </c>
      <c r="F61" s="15">
        <f t="shared" si="0"/>
        <v>100</v>
      </c>
    </row>
    <row r="62" spans="1:6" ht="41.25" customHeight="1">
      <c r="A62" s="9" t="s">
        <v>160</v>
      </c>
      <c r="B62" s="14" t="s">
        <v>162</v>
      </c>
      <c r="C62" s="49">
        <f>C64+C63</f>
        <v>0</v>
      </c>
      <c r="D62" s="19">
        <f>D64+D63</f>
        <v>777946.12</v>
      </c>
      <c r="E62" s="19">
        <f>E64+E63</f>
        <v>777946.12</v>
      </c>
      <c r="F62" s="15">
        <f t="shared" si="0"/>
        <v>100</v>
      </c>
    </row>
    <row r="63" spans="1:6" ht="41.25" customHeight="1">
      <c r="A63" s="9" t="s">
        <v>166</v>
      </c>
      <c r="B63" s="14" t="s">
        <v>162</v>
      </c>
      <c r="C63" s="45">
        <f>0</f>
        <v>0</v>
      </c>
      <c r="D63" s="19">
        <f>4000+4000</f>
        <v>8000</v>
      </c>
      <c r="E63" s="19">
        <f>8000</f>
        <v>8000</v>
      </c>
      <c r="F63" s="15">
        <f t="shared" si="0"/>
        <v>100</v>
      </c>
    </row>
    <row r="64" spans="1:6" ht="43.5" customHeight="1">
      <c r="A64" s="9" t="s">
        <v>161</v>
      </c>
      <c r="B64" s="14" t="s">
        <v>162</v>
      </c>
      <c r="C64" s="45">
        <f>0</f>
        <v>0</v>
      </c>
      <c r="D64" s="19">
        <f>38923.52+731022.6</f>
        <v>769946.12</v>
      </c>
      <c r="E64" s="19">
        <f>769946.12</f>
        <v>769946.12</v>
      </c>
      <c r="F64" s="15">
        <f t="shared" si="0"/>
        <v>100</v>
      </c>
    </row>
    <row r="65" spans="1:6" s="22" customFormat="1" ht="56.25">
      <c r="A65" s="10" t="s">
        <v>58</v>
      </c>
      <c r="B65" s="11" t="s">
        <v>74</v>
      </c>
      <c r="C65" s="48">
        <f>C66+C70</f>
        <v>40000</v>
      </c>
      <c r="D65" s="20">
        <f>D66+D70</f>
        <v>844708.3999999999</v>
      </c>
      <c r="E65" s="20">
        <f>E66+E70</f>
        <v>844708.3800000001</v>
      </c>
      <c r="F65" s="12">
        <f t="shared" si="0"/>
        <v>99.99999763231907</v>
      </c>
    </row>
    <row r="66" spans="1:6" ht="150" customHeight="1">
      <c r="A66" s="9" t="s">
        <v>177</v>
      </c>
      <c r="B66" s="25" t="s">
        <v>167</v>
      </c>
      <c r="C66" s="49">
        <f aca="true" t="shared" si="8" ref="C66:E68">C67</f>
        <v>0</v>
      </c>
      <c r="D66" s="19">
        <f t="shared" si="8"/>
        <v>270489.21</v>
      </c>
      <c r="E66" s="19">
        <f t="shared" si="8"/>
        <v>270489.21</v>
      </c>
      <c r="F66" s="15">
        <f t="shared" si="0"/>
        <v>100</v>
      </c>
    </row>
    <row r="67" spans="1:6" ht="171" customHeight="1">
      <c r="A67" s="9" t="s">
        <v>172</v>
      </c>
      <c r="B67" s="26" t="s">
        <v>168</v>
      </c>
      <c r="C67" s="49">
        <f t="shared" si="8"/>
        <v>0</v>
      </c>
      <c r="D67" s="19">
        <f t="shared" si="8"/>
        <v>270489.21</v>
      </c>
      <c r="E67" s="19">
        <f t="shared" si="8"/>
        <v>270489.21</v>
      </c>
      <c r="F67" s="15">
        <f t="shared" si="0"/>
        <v>100</v>
      </c>
    </row>
    <row r="68" spans="1:6" ht="187.5">
      <c r="A68" s="9" t="s">
        <v>173</v>
      </c>
      <c r="B68" s="26" t="s">
        <v>169</v>
      </c>
      <c r="C68" s="49">
        <f t="shared" si="8"/>
        <v>0</v>
      </c>
      <c r="D68" s="19">
        <f t="shared" si="8"/>
        <v>270489.21</v>
      </c>
      <c r="E68" s="19">
        <f t="shared" si="8"/>
        <v>270489.21</v>
      </c>
      <c r="F68" s="15">
        <f t="shared" si="0"/>
        <v>100</v>
      </c>
    </row>
    <row r="69" spans="1:6" ht="187.5">
      <c r="A69" s="9" t="s">
        <v>178</v>
      </c>
      <c r="B69" s="26" t="s">
        <v>169</v>
      </c>
      <c r="C69" s="45">
        <f>0</f>
        <v>0</v>
      </c>
      <c r="D69" s="19">
        <f>206222.23+68266.98-4000</f>
        <v>270489.21</v>
      </c>
      <c r="E69" s="19">
        <f>270489.21</f>
        <v>270489.21</v>
      </c>
      <c r="F69" s="15">
        <f t="shared" si="0"/>
        <v>100</v>
      </c>
    </row>
    <row r="70" spans="1:6" s="22" customFormat="1" ht="75">
      <c r="A70" s="9" t="s">
        <v>59</v>
      </c>
      <c r="B70" s="14" t="s">
        <v>75</v>
      </c>
      <c r="C70" s="49">
        <f aca="true" t="shared" si="9" ref="C70:E72">C71</f>
        <v>40000</v>
      </c>
      <c r="D70" s="19">
        <f t="shared" si="9"/>
        <v>574219.19</v>
      </c>
      <c r="E70" s="19">
        <f t="shared" si="9"/>
        <v>574219.17</v>
      </c>
      <c r="F70" s="15">
        <f t="shared" si="0"/>
        <v>99.99999651700949</v>
      </c>
    </row>
    <row r="71" spans="1:6" ht="75">
      <c r="A71" s="9" t="s">
        <v>60</v>
      </c>
      <c r="B71" s="27" t="s">
        <v>76</v>
      </c>
      <c r="C71" s="49">
        <f t="shared" si="9"/>
        <v>40000</v>
      </c>
      <c r="D71" s="19">
        <f t="shared" si="9"/>
        <v>574219.19</v>
      </c>
      <c r="E71" s="19">
        <f t="shared" si="9"/>
        <v>574219.17</v>
      </c>
      <c r="F71" s="15">
        <f t="shared" si="0"/>
        <v>99.99999651700949</v>
      </c>
    </row>
    <row r="72" spans="1:6" ht="93.75">
      <c r="A72" s="9" t="s">
        <v>61</v>
      </c>
      <c r="B72" s="14" t="s">
        <v>79</v>
      </c>
      <c r="C72" s="49">
        <f t="shared" si="9"/>
        <v>40000</v>
      </c>
      <c r="D72" s="19">
        <f t="shared" si="9"/>
        <v>574219.19</v>
      </c>
      <c r="E72" s="19">
        <f t="shared" si="9"/>
        <v>574219.17</v>
      </c>
      <c r="F72" s="15">
        <f t="shared" si="0"/>
        <v>99.99999651700949</v>
      </c>
    </row>
    <row r="73" spans="1:6" ht="93.75">
      <c r="A73" s="28" t="s">
        <v>81</v>
      </c>
      <c r="B73" s="14" t="s">
        <v>77</v>
      </c>
      <c r="C73" s="51">
        <f>40000</f>
        <v>40000</v>
      </c>
      <c r="D73" s="29">
        <f>40000+39000+6600+5351.58+179663+1572.86+38304.03+139572.22+61512.96+62650-7.46</f>
        <v>574219.19</v>
      </c>
      <c r="E73" s="30">
        <f>574219.17</f>
        <v>574219.17</v>
      </c>
      <c r="F73" s="15">
        <f t="shared" si="0"/>
        <v>99.99999651700949</v>
      </c>
    </row>
    <row r="74" spans="1:6" s="22" customFormat="1" ht="37.5">
      <c r="A74" s="10" t="s">
        <v>134</v>
      </c>
      <c r="B74" s="24" t="s">
        <v>135</v>
      </c>
      <c r="C74" s="52">
        <f>C75</f>
        <v>0</v>
      </c>
      <c r="D74" s="31">
        <f>D75</f>
        <v>38051.74</v>
      </c>
      <c r="E74" s="31">
        <f>E75</f>
        <v>100176.53</v>
      </c>
      <c r="F74" s="12">
        <f t="shared" si="0"/>
        <v>263.26399265841724</v>
      </c>
    </row>
    <row r="75" spans="1:7" ht="225">
      <c r="A75" s="9" t="s">
        <v>140</v>
      </c>
      <c r="B75" s="21" t="s">
        <v>141</v>
      </c>
      <c r="C75" s="53">
        <f>C80+C76</f>
        <v>0</v>
      </c>
      <c r="D75" s="29">
        <f>D80+D76</f>
        <v>38051.74</v>
      </c>
      <c r="E75" s="29">
        <f>E80+E76</f>
        <v>100176.53</v>
      </c>
      <c r="F75" s="15">
        <f t="shared" si="0"/>
        <v>263.26399265841724</v>
      </c>
      <c r="G75" s="22"/>
    </row>
    <row r="76" spans="1:7" ht="112.5">
      <c r="A76" s="9" t="s">
        <v>182</v>
      </c>
      <c r="B76" s="21" t="s">
        <v>183</v>
      </c>
      <c r="C76" s="53">
        <f>C77</f>
        <v>0</v>
      </c>
      <c r="D76" s="29">
        <f>D77</f>
        <v>8051.74</v>
      </c>
      <c r="E76" s="29">
        <f>E77</f>
        <v>70176.53</v>
      </c>
      <c r="F76" s="15">
        <f t="shared" si="0"/>
        <v>871.5697476570282</v>
      </c>
      <c r="G76" s="22"/>
    </row>
    <row r="77" spans="1:7" ht="150">
      <c r="A77" s="9" t="s">
        <v>181</v>
      </c>
      <c r="B77" s="21" t="s">
        <v>180</v>
      </c>
      <c r="C77" s="53">
        <f>C78+C79</f>
        <v>0</v>
      </c>
      <c r="D77" s="29">
        <f>D78+D79</f>
        <v>8051.74</v>
      </c>
      <c r="E77" s="29">
        <f>E78+E79</f>
        <v>70176.53</v>
      </c>
      <c r="F77" s="15">
        <f t="shared" si="0"/>
        <v>871.5697476570282</v>
      </c>
      <c r="G77" s="22"/>
    </row>
    <row r="78" spans="1:7" ht="150">
      <c r="A78" s="9" t="s">
        <v>184</v>
      </c>
      <c r="B78" s="21" t="s">
        <v>180</v>
      </c>
      <c r="C78" s="51"/>
      <c r="D78" s="29">
        <f>1650</f>
        <v>1650</v>
      </c>
      <c r="E78" s="29">
        <f>1650</f>
        <v>1650</v>
      </c>
      <c r="F78" s="15">
        <f t="shared" si="0"/>
        <v>100</v>
      </c>
      <c r="G78" s="22"/>
    </row>
    <row r="79" spans="1:7" ht="150">
      <c r="A79" s="9" t="s">
        <v>179</v>
      </c>
      <c r="B79" s="21" t="s">
        <v>180</v>
      </c>
      <c r="C79" s="51"/>
      <c r="D79" s="29">
        <f>3047.26+3354.48</f>
        <v>6401.74</v>
      </c>
      <c r="E79" s="29">
        <f>68526.53</f>
        <v>68526.53</v>
      </c>
      <c r="F79" s="15">
        <f aca="true" t="shared" si="10" ref="F79:F117">E79/D79*100</f>
        <v>1070.4360064607436</v>
      </c>
      <c r="G79" s="22"/>
    </row>
    <row r="80" spans="1:6" ht="168.75">
      <c r="A80" s="9" t="s">
        <v>136</v>
      </c>
      <c r="B80" s="21" t="s">
        <v>137</v>
      </c>
      <c r="C80" s="53">
        <f aca="true" t="shared" si="11" ref="C80:E81">C81</f>
        <v>0</v>
      </c>
      <c r="D80" s="29">
        <f t="shared" si="11"/>
        <v>30000</v>
      </c>
      <c r="E80" s="29">
        <f t="shared" si="11"/>
        <v>30000</v>
      </c>
      <c r="F80" s="15">
        <f t="shared" si="10"/>
        <v>100</v>
      </c>
    </row>
    <row r="81" spans="1:6" ht="131.25">
      <c r="A81" s="9" t="s">
        <v>138</v>
      </c>
      <c r="B81" s="14" t="s">
        <v>139</v>
      </c>
      <c r="C81" s="53">
        <f t="shared" si="11"/>
        <v>0</v>
      </c>
      <c r="D81" s="29">
        <f t="shared" si="11"/>
        <v>30000</v>
      </c>
      <c r="E81" s="29">
        <f t="shared" si="11"/>
        <v>30000</v>
      </c>
      <c r="F81" s="15">
        <f t="shared" si="10"/>
        <v>100</v>
      </c>
    </row>
    <row r="82" spans="1:6" ht="131.25">
      <c r="A82" s="9" t="s">
        <v>133</v>
      </c>
      <c r="B82" s="14" t="s">
        <v>139</v>
      </c>
      <c r="C82" s="51">
        <f>0</f>
        <v>0</v>
      </c>
      <c r="D82" s="29">
        <f>27000+1000+1000+1000</f>
        <v>30000</v>
      </c>
      <c r="E82" s="30">
        <f>30000</f>
        <v>30000</v>
      </c>
      <c r="F82" s="15">
        <f t="shared" si="10"/>
        <v>100</v>
      </c>
    </row>
    <row r="83" spans="1:6" s="22" customFormat="1" ht="37.5">
      <c r="A83" s="10" t="s">
        <v>150</v>
      </c>
      <c r="B83" s="32" t="s">
        <v>149</v>
      </c>
      <c r="C83" s="52">
        <f>C84+C87</f>
        <v>0</v>
      </c>
      <c r="D83" s="31">
        <f>D84+D87</f>
        <v>30792.56</v>
      </c>
      <c r="E83" s="31">
        <f>E84+E87</f>
        <v>30792.56</v>
      </c>
      <c r="F83" s="12">
        <f t="shared" si="10"/>
        <v>100</v>
      </c>
    </row>
    <row r="84" spans="1:6" ht="18.75">
      <c r="A84" s="9" t="s">
        <v>187</v>
      </c>
      <c r="B84" s="33" t="s">
        <v>185</v>
      </c>
      <c r="C84" s="53">
        <f aca="true" t="shared" si="12" ref="C84:E85">C85</f>
        <v>0</v>
      </c>
      <c r="D84" s="29">
        <f t="shared" si="12"/>
        <v>112</v>
      </c>
      <c r="E84" s="29">
        <f t="shared" si="12"/>
        <v>112</v>
      </c>
      <c r="F84" s="15">
        <f t="shared" si="10"/>
        <v>100</v>
      </c>
    </row>
    <row r="85" spans="1:6" ht="37.5">
      <c r="A85" s="8" t="s">
        <v>188</v>
      </c>
      <c r="B85" s="33" t="s">
        <v>186</v>
      </c>
      <c r="C85" s="53">
        <f t="shared" si="12"/>
        <v>0</v>
      </c>
      <c r="D85" s="29">
        <f t="shared" si="12"/>
        <v>112</v>
      </c>
      <c r="E85" s="29">
        <f t="shared" si="12"/>
        <v>112</v>
      </c>
      <c r="F85" s="15">
        <f t="shared" si="10"/>
        <v>100</v>
      </c>
    </row>
    <row r="86" spans="1:6" ht="42" customHeight="1">
      <c r="A86" s="8" t="s">
        <v>189</v>
      </c>
      <c r="B86" s="33" t="s">
        <v>186</v>
      </c>
      <c r="C86" s="51">
        <f>0</f>
        <v>0</v>
      </c>
      <c r="D86" s="29">
        <v>112</v>
      </c>
      <c r="E86" s="29">
        <f>112</f>
        <v>112</v>
      </c>
      <c r="F86" s="15">
        <f t="shared" si="10"/>
        <v>100</v>
      </c>
    </row>
    <row r="87" spans="1:6" ht="18.75">
      <c r="A87" s="9" t="s">
        <v>153</v>
      </c>
      <c r="B87" s="14" t="s">
        <v>152</v>
      </c>
      <c r="C87" s="53">
        <f aca="true" t="shared" si="13" ref="C87:E88">C88</f>
        <v>0</v>
      </c>
      <c r="D87" s="29">
        <f t="shared" si="13"/>
        <v>30680.56</v>
      </c>
      <c r="E87" s="29">
        <f t="shared" si="13"/>
        <v>30680.56</v>
      </c>
      <c r="F87" s="15">
        <f t="shared" si="10"/>
        <v>100</v>
      </c>
    </row>
    <row r="88" spans="1:6" ht="37.5">
      <c r="A88" s="9" t="s">
        <v>155</v>
      </c>
      <c r="B88" s="14" t="s">
        <v>154</v>
      </c>
      <c r="C88" s="53">
        <f t="shared" si="13"/>
        <v>0</v>
      </c>
      <c r="D88" s="29">
        <f t="shared" si="13"/>
        <v>30680.56</v>
      </c>
      <c r="E88" s="29">
        <f t="shared" si="13"/>
        <v>30680.56</v>
      </c>
      <c r="F88" s="15">
        <f t="shared" si="10"/>
        <v>100</v>
      </c>
    </row>
    <row r="89" spans="1:6" ht="43.5" customHeight="1">
      <c r="A89" s="9" t="s">
        <v>151</v>
      </c>
      <c r="B89" s="14" t="s">
        <v>154</v>
      </c>
      <c r="C89" s="51">
        <f>0</f>
        <v>0</v>
      </c>
      <c r="D89" s="29">
        <f>30680.56</f>
        <v>30680.56</v>
      </c>
      <c r="E89" s="30">
        <f>30680.56</f>
        <v>30680.56</v>
      </c>
      <c r="F89" s="15">
        <f t="shared" si="10"/>
        <v>100</v>
      </c>
    </row>
    <row r="90" spans="1:6" s="42" customFormat="1" ht="26.25" customHeight="1">
      <c r="A90" s="34" t="s">
        <v>13</v>
      </c>
      <c r="B90" s="35" t="s">
        <v>82</v>
      </c>
      <c r="C90" s="54">
        <f>C91</f>
        <v>44918989.36</v>
      </c>
      <c r="D90" s="36">
        <f>D91</f>
        <v>73360907.3</v>
      </c>
      <c r="E90" s="36">
        <f>E91</f>
        <v>70807594.93</v>
      </c>
      <c r="F90" s="12">
        <f t="shared" si="10"/>
        <v>96.51951909542429</v>
      </c>
    </row>
    <row r="91" spans="1:6" s="22" customFormat="1" ht="75.75" customHeight="1">
      <c r="A91" s="10" t="s">
        <v>17</v>
      </c>
      <c r="B91" s="13" t="s">
        <v>83</v>
      </c>
      <c r="C91" s="55">
        <f>C92+C99+C113</f>
        <v>44918989.36</v>
      </c>
      <c r="D91" s="37">
        <f>D92+D99+D113</f>
        <v>73360907.3</v>
      </c>
      <c r="E91" s="37">
        <f>E92+E99+E113</f>
        <v>70807594.93</v>
      </c>
      <c r="F91" s="12">
        <f t="shared" si="10"/>
        <v>96.51951909542429</v>
      </c>
    </row>
    <row r="92" spans="1:6" ht="37.5">
      <c r="A92" s="9" t="s">
        <v>87</v>
      </c>
      <c r="B92" s="38" t="s">
        <v>84</v>
      </c>
      <c r="C92" s="56">
        <f>C93+C96</f>
        <v>25183050</v>
      </c>
      <c r="D92" s="17">
        <f>D93+D96</f>
        <v>25183050</v>
      </c>
      <c r="E92" s="17">
        <f>E93+E96</f>
        <v>25183050</v>
      </c>
      <c r="F92" s="15">
        <f t="shared" si="10"/>
        <v>100</v>
      </c>
    </row>
    <row r="93" spans="1:6" ht="37.5">
      <c r="A93" s="9" t="s">
        <v>88</v>
      </c>
      <c r="B93" s="38" t="s">
        <v>35</v>
      </c>
      <c r="C93" s="56">
        <f aca="true" t="shared" si="14" ref="C93:E94">C94</f>
        <v>22292900</v>
      </c>
      <c r="D93" s="17">
        <f t="shared" si="14"/>
        <v>22292900</v>
      </c>
      <c r="E93" s="17">
        <f t="shared" si="14"/>
        <v>22292900</v>
      </c>
      <c r="F93" s="15">
        <f t="shared" si="10"/>
        <v>100</v>
      </c>
    </row>
    <row r="94" spans="1:6" ht="77.25" customHeight="1">
      <c r="A94" s="9" t="s">
        <v>89</v>
      </c>
      <c r="B94" s="14" t="s">
        <v>116</v>
      </c>
      <c r="C94" s="45">
        <f t="shared" si="14"/>
        <v>22292900</v>
      </c>
      <c r="D94" s="15">
        <f t="shared" si="14"/>
        <v>22292900</v>
      </c>
      <c r="E94" s="15">
        <f t="shared" si="14"/>
        <v>22292900</v>
      </c>
      <c r="F94" s="15">
        <f t="shared" si="10"/>
        <v>100</v>
      </c>
    </row>
    <row r="95" spans="1:6" ht="75.75" customHeight="1">
      <c r="A95" s="9" t="s">
        <v>90</v>
      </c>
      <c r="B95" s="14" t="s">
        <v>115</v>
      </c>
      <c r="C95" s="45">
        <f>22292900</f>
        <v>22292900</v>
      </c>
      <c r="D95" s="15">
        <f>21534400+758500</f>
        <v>22292900</v>
      </c>
      <c r="E95" s="17">
        <f>22292900</f>
        <v>22292900</v>
      </c>
      <c r="F95" s="15">
        <f t="shared" si="10"/>
        <v>100</v>
      </c>
    </row>
    <row r="96" spans="1:6" ht="55.5" customHeight="1">
      <c r="A96" s="9" t="s">
        <v>91</v>
      </c>
      <c r="B96" s="14" t="s">
        <v>85</v>
      </c>
      <c r="C96" s="51">
        <f aca="true" t="shared" si="15" ref="C96:E97">C97</f>
        <v>2890150</v>
      </c>
      <c r="D96" s="39">
        <f t="shared" si="15"/>
        <v>2890150</v>
      </c>
      <c r="E96" s="39">
        <f t="shared" si="15"/>
        <v>2890150</v>
      </c>
      <c r="F96" s="15">
        <f t="shared" si="10"/>
        <v>100</v>
      </c>
    </row>
    <row r="97" spans="1:6" ht="74.25" customHeight="1">
      <c r="A97" s="9" t="s">
        <v>92</v>
      </c>
      <c r="B97" s="14" t="s">
        <v>86</v>
      </c>
      <c r="C97" s="51">
        <f t="shared" si="15"/>
        <v>2890150</v>
      </c>
      <c r="D97" s="39">
        <f t="shared" si="15"/>
        <v>2890150</v>
      </c>
      <c r="E97" s="39">
        <f t="shared" si="15"/>
        <v>2890150</v>
      </c>
      <c r="F97" s="15">
        <f t="shared" si="10"/>
        <v>100</v>
      </c>
    </row>
    <row r="98" spans="1:6" ht="74.25" customHeight="1">
      <c r="A98" s="9" t="s">
        <v>93</v>
      </c>
      <c r="B98" s="14" t="s">
        <v>86</v>
      </c>
      <c r="C98" s="51">
        <f>2890150</f>
        <v>2890150</v>
      </c>
      <c r="D98" s="39">
        <f>2300010+590140</f>
        <v>2890150</v>
      </c>
      <c r="E98" s="30">
        <f>2890150</f>
        <v>2890150</v>
      </c>
      <c r="F98" s="15">
        <f t="shared" si="10"/>
        <v>100</v>
      </c>
    </row>
    <row r="99" spans="1:6" ht="57.75" customHeight="1">
      <c r="A99" s="9" t="s">
        <v>95</v>
      </c>
      <c r="B99" s="14" t="s">
        <v>94</v>
      </c>
      <c r="C99" s="51">
        <f>C100+C103+C106+C109</f>
        <v>19735939.36</v>
      </c>
      <c r="D99" s="39">
        <f>D100+D103+D106+D109</f>
        <v>26919516.5</v>
      </c>
      <c r="E99" s="39">
        <f>E100+E103+E106+E109</f>
        <v>24443504.529999997</v>
      </c>
      <c r="F99" s="15">
        <f t="shared" si="10"/>
        <v>90.80216775067262</v>
      </c>
    </row>
    <row r="100" spans="1:6" ht="170.25" customHeight="1">
      <c r="A100" s="9" t="s">
        <v>117</v>
      </c>
      <c r="B100" s="21" t="s">
        <v>121</v>
      </c>
      <c r="C100" s="51">
        <f aca="true" t="shared" si="16" ref="C100:E101">C101</f>
        <v>3284665.36</v>
      </c>
      <c r="D100" s="39">
        <f t="shared" si="16"/>
        <v>3284665.36</v>
      </c>
      <c r="E100" s="39">
        <f t="shared" si="16"/>
        <v>3284665.36</v>
      </c>
      <c r="F100" s="15">
        <f t="shared" si="10"/>
        <v>100</v>
      </c>
    </row>
    <row r="101" spans="1:6" ht="188.25" customHeight="1">
      <c r="A101" s="9" t="s">
        <v>118</v>
      </c>
      <c r="B101" s="21" t="s">
        <v>119</v>
      </c>
      <c r="C101" s="51">
        <f t="shared" si="16"/>
        <v>3284665.36</v>
      </c>
      <c r="D101" s="39">
        <f t="shared" si="16"/>
        <v>3284665.36</v>
      </c>
      <c r="E101" s="39">
        <f t="shared" si="16"/>
        <v>3284665.36</v>
      </c>
      <c r="F101" s="15">
        <f t="shared" si="10"/>
        <v>100</v>
      </c>
    </row>
    <row r="102" spans="1:6" ht="186.75" customHeight="1">
      <c r="A102" s="9" t="s">
        <v>120</v>
      </c>
      <c r="B102" s="21" t="s">
        <v>119</v>
      </c>
      <c r="C102" s="51">
        <f>3284665.36</f>
        <v>3284665.36</v>
      </c>
      <c r="D102" s="39">
        <f>3284665.36</f>
        <v>3284665.36</v>
      </c>
      <c r="E102" s="39">
        <f>3284665.36</f>
        <v>3284665.36</v>
      </c>
      <c r="F102" s="15">
        <f t="shared" si="10"/>
        <v>100</v>
      </c>
    </row>
    <row r="103" spans="1:6" ht="138" customHeight="1">
      <c r="A103" s="9" t="s">
        <v>174</v>
      </c>
      <c r="B103" s="21" t="s">
        <v>170</v>
      </c>
      <c r="C103" s="51">
        <f aca="true" t="shared" si="17" ref="C103:E104">C104</f>
        <v>0</v>
      </c>
      <c r="D103" s="39">
        <f t="shared" si="17"/>
        <v>43993.55</v>
      </c>
      <c r="E103" s="39">
        <f t="shared" si="17"/>
        <v>36661.29</v>
      </c>
      <c r="F103" s="15">
        <f t="shared" si="10"/>
        <v>83.33332954489919</v>
      </c>
    </row>
    <row r="104" spans="1:6" ht="156" customHeight="1">
      <c r="A104" s="9" t="s">
        <v>175</v>
      </c>
      <c r="B104" s="21" t="s">
        <v>171</v>
      </c>
      <c r="C104" s="51">
        <f t="shared" si="17"/>
        <v>0</v>
      </c>
      <c r="D104" s="39">
        <f t="shared" si="17"/>
        <v>43993.55</v>
      </c>
      <c r="E104" s="39">
        <f t="shared" si="17"/>
        <v>36661.29</v>
      </c>
      <c r="F104" s="15">
        <f t="shared" si="10"/>
        <v>83.33332954489919</v>
      </c>
    </row>
    <row r="105" spans="1:6" ht="150.75" customHeight="1">
      <c r="A105" s="9" t="s">
        <v>176</v>
      </c>
      <c r="B105" s="21" t="s">
        <v>171</v>
      </c>
      <c r="C105" s="51">
        <f>0</f>
        <v>0</v>
      </c>
      <c r="D105" s="39">
        <f>43993.55</f>
        <v>43993.55</v>
      </c>
      <c r="E105" s="39">
        <f>36661.29</f>
        <v>36661.29</v>
      </c>
      <c r="F105" s="15">
        <f t="shared" si="10"/>
        <v>83.33332954489919</v>
      </c>
    </row>
    <row r="106" spans="1:6" ht="57.75" customHeight="1">
      <c r="A106" s="9" t="s">
        <v>122</v>
      </c>
      <c r="B106" s="21" t="s">
        <v>123</v>
      </c>
      <c r="C106" s="51">
        <f aca="true" t="shared" si="18" ref="C106:E107">C107</f>
        <v>10000000</v>
      </c>
      <c r="D106" s="39">
        <f t="shared" si="18"/>
        <v>8249999.89</v>
      </c>
      <c r="E106" s="39">
        <f t="shared" si="18"/>
        <v>8249999.89</v>
      </c>
      <c r="F106" s="15">
        <f t="shared" si="10"/>
        <v>100</v>
      </c>
    </row>
    <row r="107" spans="1:6" ht="78" customHeight="1">
      <c r="A107" s="9" t="s">
        <v>124</v>
      </c>
      <c r="B107" s="21" t="s">
        <v>125</v>
      </c>
      <c r="C107" s="51">
        <f t="shared" si="18"/>
        <v>10000000</v>
      </c>
      <c r="D107" s="39">
        <f t="shared" si="18"/>
        <v>8249999.89</v>
      </c>
      <c r="E107" s="39">
        <f t="shared" si="18"/>
        <v>8249999.89</v>
      </c>
      <c r="F107" s="15">
        <f t="shared" si="10"/>
        <v>100</v>
      </c>
    </row>
    <row r="108" spans="1:6" ht="79.5" customHeight="1">
      <c r="A108" s="9" t="s">
        <v>126</v>
      </c>
      <c r="B108" s="21" t="s">
        <v>125</v>
      </c>
      <c r="C108" s="51">
        <f>10000000</f>
        <v>10000000</v>
      </c>
      <c r="D108" s="39">
        <f>10000000-1750000.11</f>
        <v>8249999.89</v>
      </c>
      <c r="E108" s="39">
        <f>8249999.89</f>
        <v>8249999.89</v>
      </c>
      <c r="F108" s="15">
        <f t="shared" si="10"/>
        <v>100</v>
      </c>
    </row>
    <row r="109" spans="1:6" ht="23.25" customHeight="1">
      <c r="A109" s="9" t="s">
        <v>127</v>
      </c>
      <c r="B109" s="21" t="s">
        <v>128</v>
      </c>
      <c r="C109" s="51">
        <f>C110</f>
        <v>6451274</v>
      </c>
      <c r="D109" s="39">
        <f>D110</f>
        <v>15340857.7</v>
      </c>
      <c r="E109" s="39">
        <f>E110</f>
        <v>12872177.989999998</v>
      </c>
      <c r="F109" s="15">
        <f t="shared" si="10"/>
        <v>83.90781168643522</v>
      </c>
    </row>
    <row r="110" spans="1:6" ht="39" customHeight="1">
      <c r="A110" s="9" t="s">
        <v>129</v>
      </c>
      <c r="B110" s="21" t="s">
        <v>130</v>
      </c>
      <c r="C110" s="51">
        <f>C111+C112</f>
        <v>6451274</v>
      </c>
      <c r="D110" s="39">
        <f>D111+D112</f>
        <v>15340857.7</v>
      </c>
      <c r="E110" s="39">
        <f>E111+E112</f>
        <v>12872177.989999998</v>
      </c>
      <c r="F110" s="15">
        <f t="shared" si="10"/>
        <v>83.90781168643522</v>
      </c>
    </row>
    <row r="111" spans="1:6" ht="37.5" customHeight="1">
      <c r="A111" s="9" t="s">
        <v>131</v>
      </c>
      <c r="B111" s="21" t="s">
        <v>130</v>
      </c>
      <c r="C111" s="51">
        <f>6451274</f>
        <v>6451274</v>
      </c>
      <c r="D111" s="39">
        <f>4637651+813623+1000000+1613848.36-1000000+575260.5</f>
        <v>7640382.86</v>
      </c>
      <c r="E111" s="39">
        <f>7567175.81</f>
        <v>7567175.81</v>
      </c>
      <c r="F111" s="15">
        <f t="shared" si="10"/>
        <v>99.0418405550949</v>
      </c>
    </row>
    <row r="112" spans="1:6" ht="37.5" customHeight="1">
      <c r="A112" s="9" t="s">
        <v>165</v>
      </c>
      <c r="B112" s="21" t="s">
        <v>130</v>
      </c>
      <c r="C112" s="51">
        <f>0</f>
        <v>0</v>
      </c>
      <c r="D112" s="39">
        <v>7700474.84</v>
      </c>
      <c r="E112" s="39">
        <f>5305002.18</f>
        <v>5305002.18</v>
      </c>
      <c r="F112" s="15">
        <f t="shared" si="10"/>
        <v>68.89188381531028</v>
      </c>
    </row>
    <row r="113" spans="1:6" ht="27.75" customHeight="1">
      <c r="A113" s="9" t="s">
        <v>142</v>
      </c>
      <c r="B113" s="14" t="s">
        <v>143</v>
      </c>
      <c r="C113" s="51">
        <f aca="true" t="shared" si="19" ref="C113:E115">C114</f>
        <v>0</v>
      </c>
      <c r="D113" s="39">
        <f t="shared" si="19"/>
        <v>21258340.8</v>
      </c>
      <c r="E113" s="39">
        <f t="shared" si="19"/>
        <v>21181040.4</v>
      </c>
      <c r="F113" s="15">
        <f t="shared" si="10"/>
        <v>99.63637613712542</v>
      </c>
    </row>
    <row r="114" spans="1:6" ht="46.5" customHeight="1">
      <c r="A114" s="8" t="s">
        <v>144</v>
      </c>
      <c r="B114" s="14" t="s">
        <v>145</v>
      </c>
      <c r="C114" s="51">
        <f t="shared" si="19"/>
        <v>0</v>
      </c>
      <c r="D114" s="39">
        <f t="shared" si="19"/>
        <v>21258340.8</v>
      </c>
      <c r="E114" s="39">
        <f t="shared" si="19"/>
        <v>21181040.4</v>
      </c>
      <c r="F114" s="15">
        <f t="shared" si="10"/>
        <v>99.63637613712542</v>
      </c>
    </row>
    <row r="115" spans="1:6" ht="58.5" customHeight="1">
      <c r="A115" s="8" t="s">
        <v>146</v>
      </c>
      <c r="B115" s="14" t="s">
        <v>147</v>
      </c>
      <c r="C115" s="51">
        <f t="shared" si="19"/>
        <v>0</v>
      </c>
      <c r="D115" s="39">
        <f t="shared" si="19"/>
        <v>21258340.8</v>
      </c>
      <c r="E115" s="39">
        <f t="shared" si="19"/>
        <v>21181040.4</v>
      </c>
      <c r="F115" s="15">
        <f t="shared" si="10"/>
        <v>99.63637613712542</v>
      </c>
    </row>
    <row r="116" spans="1:6" ht="64.5" customHeight="1">
      <c r="A116" s="9" t="s">
        <v>148</v>
      </c>
      <c r="B116" s="14" t="s">
        <v>147</v>
      </c>
      <c r="C116" s="51">
        <f>0</f>
        <v>0</v>
      </c>
      <c r="D116" s="39">
        <f>21258340.8</f>
        <v>21258340.8</v>
      </c>
      <c r="E116" s="39">
        <f>21181040.4</f>
        <v>21181040.4</v>
      </c>
      <c r="F116" s="15">
        <f t="shared" si="10"/>
        <v>99.63637613712542</v>
      </c>
    </row>
    <row r="117" spans="1:6" s="22" customFormat="1" ht="18.75">
      <c r="A117" s="68" t="s">
        <v>96</v>
      </c>
      <c r="B117" s="68"/>
      <c r="C117" s="44">
        <f>C14+C90</f>
        <v>92715650.18</v>
      </c>
      <c r="D117" s="12">
        <f>D14+D90</f>
        <v>124630939.17</v>
      </c>
      <c r="E117" s="12">
        <f>E14+E90</f>
        <v>125375157.65</v>
      </c>
      <c r="F117" s="12">
        <f t="shared" si="10"/>
        <v>100.5971378254519</v>
      </c>
    </row>
    <row r="118" ht="18.75">
      <c r="F118" s="40"/>
    </row>
    <row r="119" ht="18.75">
      <c r="D119" s="41"/>
    </row>
    <row r="121" ht="18.75">
      <c r="D121" s="41"/>
    </row>
  </sheetData>
  <sheetProtection/>
  <mergeCells count="14">
    <mergeCell ref="A117:B117"/>
    <mergeCell ref="B11:B12"/>
    <mergeCell ref="A1:F1"/>
    <mergeCell ref="A2:F2"/>
    <mergeCell ref="A3:F3"/>
    <mergeCell ref="A11:A12"/>
    <mergeCell ref="A4:F4"/>
    <mergeCell ref="A5:F5"/>
    <mergeCell ref="A6:F6"/>
    <mergeCell ref="A8:F8"/>
    <mergeCell ref="C11:D11"/>
    <mergeCell ref="E11:E12"/>
    <mergeCell ref="A9:F9"/>
    <mergeCell ref="F11:F12"/>
  </mergeCells>
  <printOptions/>
  <pageMargins left="0.984251968503937" right="0.1968503937007874" top="0.5905511811023623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Манакина</cp:lastModifiedBy>
  <cp:lastPrinted>2022-02-16T06:56:26Z</cp:lastPrinted>
  <dcterms:created xsi:type="dcterms:W3CDTF">2009-08-21T08:27:43Z</dcterms:created>
  <dcterms:modified xsi:type="dcterms:W3CDTF">2022-02-16T06:56:31Z</dcterms:modified>
  <cp:category/>
  <cp:version/>
  <cp:contentType/>
  <cp:contentStatus/>
</cp:coreProperties>
</file>