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'Расходы'!$A$1:$F$44</definedName>
  </definedNames>
  <calcPr fullCalcOnLoad="1"/>
</workbook>
</file>

<file path=xl/sharedStrings.xml><?xml version="1.0" encoding="utf-8"?>
<sst xmlns="http://schemas.openxmlformats.org/spreadsheetml/2006/main" count="156" uniqueCount="151">
  <si>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</si>
  <si>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</si>
  <si>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</si>
  <si>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</si>
  <si>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</si>
  <si>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</si>
  <si>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</si>
  <si>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</si>
  <si>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</si>
  <si>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</si>
  <si>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</si>
  <si>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</si>
  <si>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</si>
  <si>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</si>
  <si>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</si>
  <si>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</si>
  <si>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</si>
  <si>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</si>
  <si>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</si>
  <si>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</si>
  <si>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</si>
  <si>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</si>
  <si>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</si>
  <si>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</si>
  <si>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</si>
  <si>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</si>
  <si>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</si>
  <si>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</si>
  <si>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</si>
  <si>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</si>
  <si>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</si>
  <si>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</si>
  <si>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</si>
  <si>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</si>
  <si>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</si>
  <si>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</si>
  <si>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</si>
  <si>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</si>
  <si>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</si>
  <si>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</si>
  <si>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</si>
  <si>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</si>
  <si>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</si>
  <si>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</si>
  <si>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</si>
  <si>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</si>
  <si>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</si>
  <si>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</si>
  <si>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</si>
  <si>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</si>
  <si>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</si>
  <si>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</si>
  <si>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</si>
  <si>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</si>
  <si>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</si>
  <si>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</si>
  <si>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</si>
  <si>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</si>
  <si>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</si>
  <si>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</si>
  <si>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</si>
  <si>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</si>
  <si>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</si>
  <si>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</si>
  <si>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</si>
  <si>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</si>
  <si>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</si>
  <si>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</si>
  <si>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</si>
  <si>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</si>
  <si>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</si>
  <si>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</si>
  <si>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</si>
  <si>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</si>
  <si>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</si>
  <si>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</si>
  <si>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</si>
  <si>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</si>
  <si>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</si>
  <si>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</si>
  <si>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</si>
  <si>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</si>
  <si>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</si>
  <si>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</si>
  <si>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</si>
  <si>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</si>
  <si>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</si>
  <si>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</si>
  <si>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</si>
  <si>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</si>
  <si>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</si>
  <si>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</si>
  <si>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</si>
  <si>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</si>
  <si>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</si>
  <si>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</si>
  <si>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</si>
  <si>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</si>
  <si>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</si>
  <si>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</si>
  <si>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</si>
  <si>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</si>
  <si>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Обслуживание государственного внутреннего и муниципального долга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</si>
  <si>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</si>
  <si>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</si>
  <si>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</si>
  <si>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</si>
  <si>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</si>
  <si>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</si>
  <si>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</si>
  <si>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</si>
  <si>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t>БЕЗВОЗМЕЗДНЫЕ ПОСТУПЛЕНИЯ ОТ ДРУГИХ БЮДЖЕТОВ БЮДЖЕТНОЙ СИСТЕМЫ РОССИЙСКОЙ ФЕДЕРАЦИИ</t>
  </si>
  <si>
    <t>0310</t>
  </si>
  <si>
    <t>Обеспечение пожарной безопасности</t>
  </si>
  <si>
    <t>Обслуживание государственного и муниципального долга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</si>
  <si>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</si>
  <si>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</si>
  <si>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</si>
  <si>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</si>
  <si>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</si>
  <si>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</si>
  <si>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</si>
  <si>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</si>
  <si>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 xml:space="preserve">000 2 02 10000 00 0000 000 </t>
  </si>
  <si>
    <t>000  2 02 20000 00 0000  000</t>
  </si>
  <si>
    <t>000  2 02 30000 00 0000  000</t>
  </si>
  <si>
    <t>000 2 02 40000 00 0000 000</t>
  </si>
  <si>
    <t>Код классификации доходов бюджетов Российской Федерации</t>
  </si>
  <si>
    <t>Наименование доходов</t>
  </si>
  <si>
    <t>3. Источники</t>
  </si>
  <si>
    <t>0505</t>
  </si>
  <si>
    <t>Другие вопросы в области жилищно-коммунального хозяйства</t>
  </si>
  <si>
    <t>Ожидаемое исполнение бюджета Южского городского поселения за 2020 год</t>
  </si>
  <si>
    <t>Исполнение бюджета за 2019 год (руб.)</t>
  </si>
  <si>
    <t>Ожидаемое исполнение бюджета за 2020 год (руб.)</t>
  </si>
  <si>
    <t>Ожидаемое исполнение бюджета за 2020 год, (%)</t>
  </si>
  <si>
    <t>0406</t>
  </si>
  <si>
    <t>Водное хозяйство</t>
  </si>
  <si>
    <t>0705</t>
  </si>
  <si>
    <t>Профессиональная подготовка, переподготовка и повышение квалификации</t>
  </si>
  <si>
    <t>000 2 07 00000 00 0000 000</t>
  </si>
  <si>
    <t>Прочие безвозмездные поступления</t>
  </si>
  <si>
    <t>0107</t>
  </si>
  <si>
    <t>Обеспечение проведения выборов и референдумов</t>
  </si>
  <si>
    <t>Утверждено решением о бюджете (с учетом внесённых изменений  до 01.08.2020) (руб.)</t>
  </si>
  <si>
    <t>Исполнение бюджета на 01.08.2020 (руб.)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</si>
  <si>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rFont val="Times New Roman"/>
        <family val="1"/>
      </rPr>
      <t xml:space="preserve"> </t>
    </r>
  </si>
  <si>
    <r>
      <t xml:space="preserve">Субвенции бюджетам бюджетной системы Российской Федерации            </t>
    </r>
    <r>
      <rPr>
        <i/>
        <sz val="14"/>
        <rFont val="Times New Roman"/>
        <family val="1"/>
      </rPr>
      <t xml:space="preserve">  </t>
    </r>
  </si>
  <si>
    <t>Утверждено решением о бюджете (с учетом внесённых изменений  до 01.08.2020 года) (руб.)</t>
  </si>
  <si>
    <t>Исполнение бюджета на 01.08.2020 года (руб.)</t>
  </si>
  <si>
    <t xml:space="preserve">Утверждено решением о бюджете (с учетом внесённых изменений  до 01.08.2020 года) (руб.)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</si>
</sst>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3" fillId="7" borderId="10" xfId="0" applyNumberFormat="1" applyFont="1" applyFill="1" applyBorder="1" applyAlignment="1">
      <alignment horizontal="right" vertical="center"/>
    </xf>
    <xf numFmtId="4" fontId="2" fillId="7" borderId="10" xfId="0" applyNumberFormat="1" applyFont="1" applyFill="1" applyBorder="1" applyAlignment="1">
      <alignment horizontal="right" vertical="center"/>
    </xf>
    <xf numFmtId="4" fontId="3" fillId="7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4" fontId="3" fillId="7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top" wrapText="1"/>
    </xf>
    <xf numFmtId="4" fontId="2" fillId="7" borderId="1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vertical="center"/>
    </xf>
    <xf numFmtId="2" fontId="3" fillId="0" borderId="13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 shrinkToFit="1"/>
    </xf>
    <xf numFmtId="2" fontId="2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35" customWidth="1"/>
    <col min="2" max="2" width="44.00390625" style="36" customWidth="1"/>
    <col min="3" max="3" width="18.75390625" style="37" customWidth="1"/>
    <col min="4" max="4" width="18.875" style="15" customWidth="1"/>
    <col min="5" max="5" width="18.75390625" style="15" customWidth="1"/>
    <col min="6" max="6" width="20.25390625" style="15" customWidth="1"/>
    <col min="7" max="7" width="14.875" style="15" customWidth="1"/>
    <col min="8" max="8" width="12.125" style="18" customWidth="1"/>
    <col min="9" max="9" width="15.00390625" style="18" customWidth="1"/>
    <col min="10" max="16384" width="9.125" style="18" customWidth="1"/>
  </cols>
  <sheetData>
    <row r="1" spans="1:7" s="14" customFormat="1" ht="27.75" customHeight="1">
      <c r="A1" s="122" t="s">
        <v>132</v>
      </c>
      <c r="B1" s="122"/>
      <c r="C1" s="122"/>
      <c r="D1" s="122"/>
      <c r="E1" s="122"/>
      <c r="F1" s="122"/>
      <c r="G1" s="122"/>
    </row>
    <row r="2" spans="1:7" s="14" customFormat="1" ht="25.5" customHeight="1">
      <c r="A2" s="121" t="s">
        <v>89</v>
      </c>
      <c r="B2" s="121"/>
      <c r="C2" s="43"/>
      <c r="D2" s="44"/>
      <c r="E2" s="44"/>
      <c r="F2" s="16"/>
      <c r="G2" s="17"/>
    </row>
    <row r="3" spans="1:8" s="14" customFormat="1" ht="154.5" customHeight="1">
      <c r="A3" s="19" t="s">
        <v>127</v>
      </c>
      <c r="B3" s="19" t="s">
        <v>128</v>
      </c>
      <c r="C3" s="78" t="s">
        <v>133</v>
      </c>
      <c r="D3" s="21" t="s">
        <v>144</v>
      </c>
      <c r="E3" s="20" t="s">
        <v>145</v>
      </c>
      <c r="F3" s="20" t="s">
        <v>134</v>
      </c>
      <c r="G3" s="20" t="s">
        <v>135</v>
      </c>
      <c r="H3" s="22"/>
    </row>
    <row r="4" spans="1:9" ht="18.75">
      <c r="A4" s="23">
        <v>1</v>
      </c>
      <c r="B4" s="24">
        <v>2</v>
      </c>
      <c r="C4" s="79">
        <v>3</v>
      </c>
      <c r="D4" s="25" t="s">
        <v>79</v>
      </c>
      <c r="E4" s="25" t="s">
        <v>80</v>
      </c>
      <c r="F4" s="25" t="s">
        <v>81</v>
      </c>
      <c r="G4" s="25" t="s">
        <v>82</v>
      </c>
      <c r="I4" s="26"/>
    </row>
    <row r="5" spans="1:9" ht="37.5">
      <c r="A5" s="31" t="s">
        <v>58</v>
      </c>
      <c r="B5" s="93" t="s">
        <v>59</v>
      </c>
      <c r="C5" s="94">
        <f>C12+C19</f>
        <v>47762612.51</v>
      </c>
      <c r="D5" s="95">
        <f>D12+D19</f>
        <v>48154843.68</v>
      </c>
      <c r="E5" s="95">
        <f>E12+E19</f>
        <v>25472177.259999998</v>
      </c>
      <c r="F5" s="95">
        <f>F12+F19</f>
        <v>47872778.25000001</v>
      </c>
      <c r="G5" s="27">
        <f aca="true" t="shared" si="0" ref="G5:G10">F5/D5*100</f>
        <v>99.4142532537861</v>
      </c>
      <c r="I5" s="28"/>
    </row>
    <row r="6" spans="1:9" ht="21.75" customHeight="1">
      <c r="A6" s="96" t="s">
        <v>115</v>
      </c>
      <c r="B6" s="97" t="s">
        <v>60</v>
      </c>
      <c r="C6" s="98">
        <f>38225435.8</f>
        <v>38225435.8</v>
      </c>
      <c r="D6" s="86">
        <f>39674615.58</f>
        <v>39674615.58</v>
      </c>
      <c r="E6" s="86">
        <f>21262096.36</f>
        <v>21262096.36</v>
      </c>
      <c r="F6" s="86">
        <f>39486750.38</f>
        <v>39486750.38</v>
      </c>
      <c r="G6" s="9">
        <f t="shared" si="0"/>
        <v>99.52648514105654</v>
      </c>
      <c r="H6" s="99"/>
      <c r="I6" s="29"/>
    </row>
    <row r="7" spans="1:9" ht="58.5" customHeight="1">
      <c r="A7" s="96" t="s">
        <v>116</v>
      </c>
      <c r="B7" s="46" t="s">
        <v>83</v>
      </c>
      <c r="C7" s="80">
        <f>2177771.79</f>
        <v>2177771.79</v>
      </c>
      <c r="D7" s="9">
        <f>2058090.2</f>
        <v>2058090.2</v>
      </c>
      <c r="E7" s="9">
        <f>1095347.2</f>
        <v>1095347.2</v>
      </c>
      <c r="F7" s="9">
        <f>2058090.2</f>
        <v>2058090.2</v>
      </c>
      <c r="G7" s="9">
        <f t="shared" si="0"/>
        <v>100</v>
      </c>
      <c r="H7" s="100"/>
      <c r="I7" s="101"/>
    </row>
    <row r="8" spans="1:9" ht="21" customHeight="1">
      <c r="A8" s="96" t="s">
        <v>117</v>
      </c>
      <c r="B8" s="102" t="s">
        <v>61</v>
      </c>
      <c r="C8" s="80">
        <f>325</f>
        <v>325</v>
      </c>
      <c r="D8" s="9">
        <f>0</f>
        <v>0</v>
      </c>
      <c r="E8" s="9">
        <f>0</f>
        <v>0</v>
      </c>
      <c r="F8" s="9">
        <f>0</f>
        <v>0</v>
      </c>
      <c r="G8" s="9">
        <f>0</f>
        <v>0</v>
      </c>
      <c r="I8" s="26"/>
    </row>
    <row r="9" spans="1:9" ht="21.75" customHeight="1">
      <c r="A9" s="96" t="s">
        <v>118</v>
      </c>
      <c r="B9" s="103" t="s">
        <v>62</v>
      </c>
      <c r="C9" s="80">
        <f>3670997.25</f>
        <v>3670997.25</v>
      </c>
      <c r="D9" s="9">
        <f>4000000</f>
        <v>4000000</v>
      </c>
      <c r="E9" s="9">
        <f>1348893.28</f>
        <v>1348893.28</v>
      </c>
      <c r="F9" s="9">
        <f>920000+1350000+1630000</f>
        <v>3900000</v>
      </c>
      <c r="G9" s="9">
        <f t="shared" si="0"/>
        <v>97.5</v>
      </c>
      <c r="H9" s="104"/>
      <c r="I9" s="26"/>
    </row>
    <row r="10" spans="1:9" ht="18.75" hidden="1">
      <c r="A10" s="96" t="s">
        <v>63</v>
      </c>
      <c r="B10" s="103" t="s">
        <v>64</v>
      </c>
      <c r="C10" s="80"/>
      <c r="D10" s="9"/>
      <c r="E10" s="9"/>
      <c r="F10" s="9"/>
      <c r="G10" s="9" t="e">
        <f t="shared" si="0"/>
        <v>#DIV/0!</v>
      </c>
      <c r="I10" s="26"/>
    </row>
    <row r="11" spans="1:9" ht="0.75" customHeight="1" hidden="1">
      <c r="A11" s="105" t="s">
        <v>65</v>
      </c>
      <c r="B11" s="106" t="s">
        <v>66</v>
      </c>
      <c r="C11" s="80"/>
      <c r="D11" s="9"/>
      <c r="E11" s="9"/>
      <c r="F11" s="9"/>
      <c r="G11" s="9">
        <v>0</v>
      </c>
      <c r="I11" s="26"/>
    </row>
    <row r="12" spans="1:9" ht="18.75">
      <c r="A12" s="105"/>
      <c r="B12" s="47" t="s">
        <v>48</v>
      </c>
      <c r="C12" s="81">
        <f>SUM(C6:C11)</f>
        <v>44074529.839999996</v>
      </c>
      <c r="D12" s="27">
        <f>SUM(D6:D11)</f>
        <v>45732705.78</v>
      </c>
      <c r="E12" s="27">
        <f>SUM(E6:E11)</f>
        <v>23706336.84</v>
      </c>
      <c r="F12" s="27">
        <f>SUM(F6:F11)</f>
        <v>45444840.580000006</v>
      </c>
      <c r="G12" s="27">
        <f>F12/D12*100</f>
        <v>99.37054850551641</v>
      </c>
      <c r="I12" s="26"/>
    </row>
    <row r="13" spans="1:9" ht="74.25" customHeight="1">
      <c r="A13" s="96" t="s">
        <v>119</v>
      </c>
      <c r="B13" s="107" t="s">
        <v>67</v>
      </c>
      <c r="C13" s="80">
        <f>3295899.73</f>
        <v>3295899.73</v>
      </c>
      <c r="D13" s="9">
        <f>2277048.9</f>
        <v>2277048.9</v>
      </c>
      <c r="E13" s="9">
        <f>1614951.65</f>
        <v>1614951.65</v>
      </c>
      <c r="F13" s="9">
        <f>700000+90000+1487048.9</f>
        <v>2277048.9</v>
      </c>
      <c r="G13" s="9">
        <f>F13/D13*100</f>
        <v>100</v>
      </c>
      <c r="H13" s="108"/>
      <c r="I13" s="109"/>
    </row>
    <row r="14" spans="1:9" ht="43.5" customHeight="1" hidden="1">
      <c r="A14" s="96" t="s">
        <v>68</v>
      </c>
      <c r="B14" s="103" t="s">
        <v>69</v>
      </c>
      <c r="C14" s="80"/>
      <c r="D14" s="9"/>
      <c r="E14" s="9"/>
      <c r="F14" s="9"/>
      <c r="G14" s="9" t="e">
        <f>F14/D14*100</f>
        <v>#DIV/0!</v>
      </c>
      <c r="I14" s="26"/>
    </row>
    <row r="15" spans="1:9" ht="57" customHeight="1">
      <c r="A15" s="96" t="s">
        <v>120</v>
      </c>
      <c r="B15" s="106" t="s">
        <v>70</v>
      </c>
      <c r="C15" s="80">
        <f>0</f>
        <v>0</v>
      </c>
      <c r="D15" s="9">
        <f>0</f>
        <v>0</v>
      </c>
      <c r="E15" s="9">
        <f>0</f>
        <v>0</v>
      </c>
      <c r="F15" s="9">
        <f>0</f>
        <v>0</v>
      </c>
      <c r="G15" s="9">
        <v>0</v>
      </c>
      <c r="I15" s="26"/>
    </row>
    <row r="16" spans="1:9" ht="39.75" customHeight="1">
      <c r="A16" s="96" t="s">
        <v>121</v>
      </c>
      <c r="B16" s="103" t="s">
        <v>146</v>
      </c>
      <c r="C16" s="80">
        <f>357760.71</f>
        <v>357760.71</v>
      </c>
      <c r="D16" s="9">
        <f>141384</f>
        <v>141384</v>
      </c>
      <c r="E16" s="9">
        <f>147183.77</f>
        <v>147183.77</v>
      </c>
      <c r="F16" s="9">
        <f>147183.77</f>
        <v>147183.77</v>
      </c>
      <c r="G16" s="9">
        <f>F16/D16*100</f>
        <v>104.10214027046906</v>
      </c>
      <c r="H16" s="108"/>
      <c r="I16" s="109"/>
    </row>
    <row r="17" spans="1:9" ht="39" customHeight="1">
      <c r="A17" s="96" t="s">
        <v>71</v>
      </c>
      <c r="B17" s="107" t="s">
        <v>72</v>
      </c>
      <c r="C17" s="80">
        <f>24005.87</f>
        <v>24005.87</v>
      </c>
      <c r="D17" s="9">
        <f>3705</f>
        <v>3705</v>
      </c>
      <c r="E17" s="9">
        <f>3705</f>
        <v>3705</v>
      </c>
      <c r="F17" s="9">
        <f>3705</f>
        <v>3705</v>
      </c>
      <c r="G17" s="9">
        <v>0</v>
      </c>
      <c r="I17" s="26"/>
    </row>
    <row r="18" spans="1:9" ht="25.5" customHeight="1">
      <c r="A18" s="96" t="s">
        <v>73</v>
      </c>
      <c r="B18" s="107" t="s">
        <v>49</v>
      </c>
      <c r="C18" s="80">
        <f>10416.36</f>
        <v>10416.36</v>
      </c>
      <c r="D18" s="9">
        <f>0</f>
        <v>0</v>
      </c>
      <c r="E18" s="9">
        <f>0</f>
        <v>0</v>
      </c>
      <c r="F18" s="9">
        <f>0</f>
        <v>0</v>
      </c>
      <c r="G18" s="9">
        <v>0</v>
      </c>
      <c r="I18" s="26"/>
    </row>
    <row r="19" spans="1:9" ht="18.75">
      <c r="A19" s="96"/>
      <c r="B19" s="47" t="s">
        <v>50</v>
      </c>
      <c r="C19" s="81">
        <f>SUM(C13:C18)</f>
        <v>3688082.67</v>
      </c>
      <c r="D19" s="27">
        <f>SUM(D13:D18)</f>
        <v>2422137.9</v>
      </c>
      <c r="E19" s="27">
        <f>SUM(E13:E18)</f>
        <v>1765840.42</v>
      </c>
      <c r="F19" s="27">
        <f>SUM(F13:F18)</f>
        <v>2427937.67</v>
      </c>
      <c r="G19" s="27">
        <f aca="true" t="shared" si="1" ref="G19:G28">F19/D19*100</f>
        <v>100.23944838153105</v>
      </c>
      <c r="I19" s="26"/>
    </row>
    <row r="20" spans="1:9" ht="37.5">
      <c r="A20" s="31" t="s">
        <v>74</v>
      </c>
      <c r="B20" s="110" t="s">
        <v>75</v>
      </c>
      <c r="C20" s="81">
        <f>C21+C27+C26</f>
        <v>48609719.1</v>
      </c>
      <c r="D20" s="10">
        <f>D21+D27+D26</f>
        <v>146840284.53</v>
      </c>
      <c r="E20" s="10">
        <f>E21+E27+E26</f>
        <v>59540408.59</v>
      </c>
      <c r="F20" s="10">
        <f>F21+F27+F26</f>
        <v>146840284.53</v>
      </c>
      <c r="G20" s="27">
        <f t="shared" si="1"/>
        <v>100</v>
      </c>
      <c r="I20" s="26"/>
    </row>
    <row r="21" spans="1:9" ht="93" customHeight="1">
      <c r="A21" s="31" t="s">
        <v>76</v>
      </c>
      <c r="B21" s="48" t="s">
        <v>111</v>
      </c>
      <c r="C21" s="81">
        <f>SUM(C22:C25)</f>
        <v>48772611.629999995</v>
      </c>
      <c r="D21" s="27">
        <f>SUM(D22:D25)</f>
        <v>146780284.53</v>
      </c>
      <c r="E21" s="30">
        <f>SUM(E22:E25)</f>
        <v>59480408.59</v>
      </c>
      <c r="F21" s="30">
        <f>SUM(F22:F25)</f>
        <v>146780284.53</v>
      </c>
      <c r="G21" s="27">
        <f t="shared" si="1"/>
        <v>100</v>
      </c>
      <c r="I21" s="26"/>
    </row>
    <row r="22" spans="1:9" ht="40.5" customHeight="1">
      <c r="A22" s="45" t="s">
        <v>123</v>
      </c>
      <c r="B22" s="103" t="s">
        <v>110</v>
      </c>
      <c r="C22" s="82">
        <f>23704700</f>
        <v>23704700</v>
      </c>
      <c r="D22" s="9">
        <f>23834410</f>
        <v>23834410</v>
      </c>
      <c r="E22" s="9">
        <f>13903400</f>
        <v>13903400</v>
      </c>
      <c r="F22" s="111">
        <f>23834410</f>
        <v>23834410</v>
      </c>
      <c r="G22" s="9">
        <f t="shared" si="1"/>
        <v>100</v>
      </c>
      <c r="I22" s="26"/>
    </row>
    <row r="23" spans="1:8" ht="57" customHeight="1">
      <c r="A23" s="45" t="s">
        <v>124</v>
      </c>
      <c r="B23" s="106" t="s">
        <v>84</v>
      </c>
      <c r="C23" s="80">
        <f>20914839.63</f>
        <v>20914839.63</v>
      </c>
      <c r="D23" s="9">
        <f>49450715.15</f>
        <v>49450715.15</v>
      </c>
      <c r="E23" s="9">
        <f>4838965.17</f>
        <v>4838965.17</v>
      </c>
      <c r="F23" s="9">
        <f>49450715.15</f>
        <v>49450715.15</v>
      </c>
      <c r="G23" s="9">
        <f t="shared" si="1"/>
        <v>100</v>
      </c>
      <c r="H23" s="104"/>
    </row>
    <row r="24" spans="1:9" ht="40.5" customHeight="1">
      <c r="A24" s="45" t="s">
        <v>125</v>
      </c>
      <c r="B24" s="107" t="s">
        <v>147</v>
      </c>
      <c r="C24" s="80">
        <f>3072</f>
        <v>3072</v>
      </c>
      <c r="D24" s="9">
        <f>13783.78</f>
        <v>13783.78</v>
      </c>
      <c r="E24" s="9">
        <f>0</f>
        <v>0</v>
      </c>
      <c r="F24" s="9">
        <f>13783.78</f>
        <v>13783.78</v>
      </c>
      <c r="G24" s="9">
        <v>0</v>
      </c>
      <c r="I24" s="26"/>
    </row>
    <row r="25" spans="1:9" s="14" customFormat="1" ht="32.25" customHeight="1">
      <c r="A25" s="45" t="s">
        <v>126</v>
      </c>
      <c r="B25" s="112" t="s">
        <v>77</v>
      </c>
      <c r="C25" s="80">
        <f>4150000</f>
        <v>4150000</v>
      </c>
      <c r="D25" s="9">
        <f>73481375.6</f>
        <v>73481375.6</v>
      </c>
      <c r="E25" s="9">
        <f>40738043.42</f>
        <v>40738043.42</v>
      </c>
      <c r="F25" s="9">
        <f>73481375.6</f>
        <v>73481375.6</v>
      </c>
      <c r="G25" s="9">
        <v>0</v>
      </c>
      <c r="I25" s="34"/>
    </row>
    <row r="26" spans="1:9" s="41" customFormat="1" ht="42" customHeight="1">
      <c r="A26" s="113" t="s">
        <v>140</v>
      </c>
      <c r="B26" s="110" t="s">
        <v>141</v>
      </c>
      <c r="C26" s="83">
        <f>18279.95</f>
        <v>18279.95</v>
      </c>
      <c r="D26" s="27">
        <f>60000</f>
        <v>60000</v>
      </c>
      <c r="E26" s="27">
        <f>60000</f>
        <v>60000</v>
      </c>
      <c r="F26" s="27">
        <f>60000</f>
        <v>60000</v>
      </c>
      <c r="G26" s="27">
        <v>0</v>
      </c>
      <c r="I26" s="87"/>
    </row>
    <row r="27" spans="1:9" s="32" customFormat="1" ht="75" customHeight="1">
      <c r="A27" s="31" t="s">
        <v>78</v>
      </c>
      <c r="B27" s="48" t="s">
        <v>90</v>
      </c>
      <c r="C27" s="83">
        <f>-181172.48</f>
        <v>-181172.48</v>
      </c>
      <c r="D27" s="27">
        <f>0</f>
        <v>0</v>
      </c>
      <c r="E27" s="27">
        <f>0</f>
        <v>0</v>
      </c>
      <c r="F27" s="27">
        <f>0</f>
        <v>0</v>
      </c>
      <c r="G27" s="27">
        <f>0</f>
        <v>0</v>
      </c>
      <c r="I27" s="33"/>
    </row>
    <row r="28" spans="1:9" s="14" customFormat="1" ht="22.5" customHeight="1">
      <c r="A28" s="25"/>
      <c r="B28" s="49" t="s">
        <v>108</v>
      </c>
      <c r="C28" s="81">
        <f>C5+C20</f>
        <v>96372331.61</v>
      </c>
      <c r="D28" s="27">
        <f>D5+D20</f>
        <v>194995128.21</v>
      </c>
      <c r="E28" s="30">
        <f>E5+E20</f>
        <v>85012585.85</v>
      </c>
      <c r="F28" s="30">
        <f>F5+F20</f>
        <v>194713062.78</v>
      </c>
      <c r="G28" s="27">
        <f t="shared" si="1"/>
        <v>99.85534744760585</v>
      </c>
      <c r="I28" s="34"/>
    </row>
    <row r="30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96" zoomScaleNormal="96" zoomScalePageLayoutView="0" workbookViewId="0" topLeftCell="A16">
      <selection activeCell="H3" sqref="H3"/>
    </sheetView>
  </sheetViews>
  <sheetFormatPr defaultColWidth="9.00390625" defaultRowHeight="12.75"/>
  <cols>
    <col min="1" max="1" width="9.875" style="77" customWidth="1"/>
    <col min="2" max="2" width="61.75390625" style="75" customWidth="1"/>
    <col min="3" max="3" width="23.25390625" style="15" customWidth="1"/>
    <col min="4" max="4" width="20.125" style="15" customWidth="1"/>
    <col min="5" max="5" width="22.125" style="15" customWidth="1"/>
    <col min="6" max="6" width="22.25390625" style="18" customWidth="1"/>
    <col min="7" max="7" width="21.25390625" style="18" customWidth="1"/>
    <col min="8" max="8" width="13.00390625" style="53" customWidth="1"/>
    <col min="9" max="9" width="18.25390625" style="18" customWidth="1"/>
    <col min="10" max="10" width="16.25390625" style="18" customWidth="1"/>
    <col min="11" max="11" width="17.375" style="18" customWidth="1"/>
    <col min="12" max="12" width="16.375" style="18" customWidth="1"/>
    <col min="13" max="13" width="18.25390625" style="18" customWidth="1"/>
    <col min="14" max="16384" width="9.125" style="18" customWidth="1"/>
  </cols>
  <sheetData>
    <row r="1" spans="1:8" s="14" customFormat="1" ht="23.25" customHeight="1">
      <c r="A1" s="50" t="s">
        <v>88</v>
      </c>
      <c r="B1" s="50"/>
      <c r="C1" s="44"/>
      <c r="D1" s="44"/>
      <c r="E1" s="16"/>
      <c r="F1" s="51"/>
      <c r="H1" s="52"/>
    </row>
    <row r="2" spans="1:6" ht="133.5" customHeight="1">
      <c r="A2" s="19" t="s">
        <v>92</v>
      </c>
      <c r="B2" s="19" t="s">
        <v>91</v>
      </c>
      <c r="C2" s="21" t="s">
        <v>148</v>
      </c>
      <c r="D2" s="20" t="s">
        <v>149</v>
      </c>
      <c r="E2" s="20" t="s">
        <v>134</v>
      </c>
      <c r="F2" s="19" t="s">
        <v>135</v>
      </c>
    </row>
    <row r="3" spans="1:6" ht="18.75">
      <c r="A3" s="23">
        <v>1</v>
      </c>
      <c r="B3" s="19">
        <v>2</v>
      </c>
      <c r="C3" s="25">
        <v>3</v>
      </c>
      <c r="D3" s="25">
        <v>4</v>
      </c>
      <c r="E3" s="54">
        <v>5</v>
      </c>
      <c r="F3" s="23">
        <v>6</v>
      </c>
    </row>
    <row r="4" spans="1:8" s="14" customFormat="1" ht="24" customHeight="1">
      <c r="A4" s="55" t="s">
        <v>13</v>
      </c>
      <c r="B4" s="56" t="s">
        <v>0</v>
      </c>
      <c r="C4" s="27">
        <f>SUM(C5:C10)</f>
        <v>7967567.91</v>
      </c>
      <c r="D4" s="27">
        <f>SUM(D5:D10)</f>
        <v>4613672.13</v>
      </c>
      <c r="E4" s="27">
        <f>SUM(E5:E10)</f>
        <v>7748702.27</v>
      </c>
      <c r="F4" s="38">
        <f aca="true" t="shared" si="0" ref="F4:F10">E4/C4*100</f>
        <v>97.25304330666194</v>
      </c>
      <c r="G4" s="39"/>
      <c r="H4" s="57"/>
    </row>
    <row r="5" spans="1:8" s="14" customFormat="1" ht="57.75" customHeight="1">
      <c r="A5" s="25" t="s">
        <v>14</v>
      </c>
      <c r="B5" s="58" t="s">
        <v>93</v>
      </c>
      <c r="C5" s="9">
        <f>739569.82</f>
        <v>739569.82</v>
      </c>
      <c r="D5" s="9">
        <f>431045.34</f>
        <v>431045.34</v>
      </c>
      <c r="E5" s="9">
        <f>739569.82</f>
        <v>739569.82</v>
      </c>
      <c r="F5" s="59">
        <f t="shared" si="0"/>
        <v>100</v>
      </c>
      <c r="G5" s="39"/>
      <c r="H5" s="57"/>
    </row>
    <row r="6" spans="1:8" s="14" customFormat="1" ht="76.5" customHeight="1">
      <c r="A6" s="25" t="s">
        <v>15</v>
      </c>
      <c r="B6" s="58" t="s">
        <v>85</v>
      </c>
      <c r="C6" s="9">
        <f>1667948.27</f>
        <v>1667948.27</v>
      </c>
      <c r="D6" s="9">
        <f>924580.2</f>
        <v>924580.2</v>
      </c>
      <c r="E6" s="9">
        <f>1667948.27</f>
        <v>1667948.27</v>
      </c>
      <c r="F6" s="59">
        <f t="shared" si="0"/>
        <v>100</v>
      </c>
      <c r="G6" s="39"/>
      <c r="H6" s="57"/>
    </row>
    <row r="7" spans="1:8" s="14" customFormat="1" ht="21" customHeight="1">
      <c r="A7" s="60" t="s">
        <v>46</v>
      </c>
      <c r="B7" s="58" t="s">
        <v>47</v>
      </c>
      <c r="C7" s="9">
        <f>13783.78</f>
        <v>13783.78</v>
      </c>
      <c r="D7" s="9">
        <f>0</f>
        <v>0</v>
      </c>
      <c r="E7" s="9">
        <f>13783.78</f>
        <v>13783.78</v>
      </c>
      <c r="F7" s="59">
        <f t="shared" si="0"/>
        <v>100</v>
      </c>
      <c r="G7" s="39"/>
      <c r="H7" s="57"/>
    </row>
    <row r="8" spans="1:8" s="14" customFormat="1" ht="21" customHeight="1">
      <c r="A8" s="60" t="s">
        <v>142</v>
      </c>
      <c r="B8" s="58" t="s">
        <v>143</v>
      </c>
      <c r="C8" s="9">
        <f>1250000</f>
        <v>1250000</v>
      </c>
      <c r="D8" s="9">
        <f>1250000</f>
        <v>1250000</v>
      </c>
      <c r="E8" s="9">
        <f>1250000</f>
        <v>1250000</v>
      </c>
      <c r="F8" s="59">
        <f t="shared" si="0"/>
        <v>100</v>
      </c>
      <c r="G8" s="39"/>
      <c r="H8" s="57"/>
    </row>
    <row r="9" spans="1:8" s="14" customFormat="1" ht="21" customHeight="1">
      <c r="A9" s="60" t="s">
        <v>37</v>
      </c>
      <c r="B9" s="58" t="s">
        <v>1</v>
      </c>
      <c r="C9" s="9">
        <f>218865.64</f>
        <v>218865.64</v>
      </c>
      <c r="D9" s="9">
        <f>0</f>
        <v>0</v>
      </c>
      <c r="E9" s="9">
        <f>0</f>
        <v>0</v>
      </c>
      <c r="F9" s="59">
        <f t="shared" si="0"/>
        <v>0</v>
      </c>
      <c r="G9" s="39"/>
      <c r="H9" s="57"/>
    </row>
    <row r="10" spans="1:8" s="14" customFormat="1" ht="21.75" customHeight="1">
      <c r="A10" s="60" t="s">
        <v>51</v>
      </c>
      <c r="B10" s="58" t="s">
        <v>94</v>
      </c>
      <c r="C10" s="9">
        <f>4077400.4</f>
        <v>4077400.4</v>
      </c>
      <c r="D10" s="9">
        <f>2008046.59</f>
        <v>2008046.59</v>
      </c>
      <c r="E10" s="9">
        <f>4077400.4</f>
        <v>4077400.4</v>
      </c>
      <c r="F10" s="59">
        <f t="shared" si="0"/>
        <v>100</v>
      </c>
      <c r="G10" s="39"/>
      <c r="H10" s="57"/>
    </row>
    <row r="11" spans="1:8" s="14" customFormat="1" ht="36.75" customHeight="1">
      <c r="A11" s="55" t="s">
        <v>16</v>
      </c>
      <c r="B11" s="56" t="s">
        <v>2</v>
      </c>
      <c r="C11" s="27">
        <f>SUM(C12:C14)</f>
        <v>328750</v>
      </c>
      <c r="D11" s="27">
        <f>SUM(D12:D14)</f>
        <v>109465</v>
      </c>
      <c r="E11" s="27">
        <f>SUM(E12:E14)</f>
        <v>328750</v>
      </c>
      <c r="F11" s="38">
        <f>F12</f>
        <v>100</v>
      </c>
      <c r="G11" s="39"/>
      <c r="H11" s="57"/>
    </row>
    <row r="12" spans="1:8" s="14" customFormat="1" ht="56.25" customHeight="1">
      <c r="A12" s="60" t="s">
        <v>17</v>
      </c>
      <c r="B12" s="61" t="s">
        <v>95</v>
      </c>
      <c r="C12" s="9">
        <f>12000</f>
        <v>12000</v>
      </c>
      <c r="D12" s="9">
        <f>0</f>
        <v>0</v>
      </c>
      <c r="E12" s="9">
        <f>12000</f>
        <v>12000</v>
      </c>
      <c r="F12" s="59">
        <f>E12/C12*100</f>
        <v>100</v>
      </c>
      <c r="G12" s="39"/>
      <c r="H12" s="57"/>
    </row>
    <row r="13" spans="1:8" s="14" customFormat="1" ht="21.75" customHeight="1">
      <c r="A13" s="60" t="s">
        <v>112</v>
      </c>
      <c r="B13" s="61" t="s">
        <v>113</v>
      </c>
      <c r="C13" s="9">
        <f>166750</f>
        <v>166750</v>
      </c>
      <c r="D13" s="9">
        <f>92625</f>
        <v>92625</v>
      </c>
      <c r="E13" s="9">
        <f>166750</f>
        <v>166750</v>
      </c>
      <c r="F13" s="59">
        <f>E13/C13*100</f>
        <v>100</v>
      </c>
      <c r="G13" s="39"/>
      <c r="H13" s="57"/>
    </row>
    <row r="14" spans="1:8" s="14" customFormat="1" ht="39.75" customHeight="1">
      <c r="A14" s="60" t="s">
        <v>96</v>
      </c>
      <c r="B14" s="61" t="s">
        <v>97</v>
      </c>
      <c r="C14" s="9">
        <f>150000</f>
        <v>150000</v>
      </c>
      <c r="D14" s="9">
        <f>16840</f>
        <v>16840</v>
      </c>
      <c r="E14" s="9">
        <f>150000</f>
        <v>150000</v>
      </c>
      <c r="F14" s="59">
        <f>E14/C14*100</f>
        <v>100</v>
      </c>
      <c r="G14" s="39"/>
      <c r="H14" s="57"/>
    </row>
    <row r="15" spans="1:8" s="14" customFormat="1" ht="22.5" customHeight="1">
      <c r="A15" s="62" t="s">
        <v>18</v>
      </c>
      <c r="B15" s="56" t="s">
        <v>3</v>
      </c>
      <c r="C15" s="27">
        <f>SUM(C16:C19)</f>
        <v>43982076.95999999</v>
      </c>
      <c r="D15" s="27">
        <f>SUM(D16:D19)</f>
        <v>12976309.190000001</v>
      </c>
      <c r="E15" s="27">
        <f>SUM(E16:E19)</f>
        <v>43982076.95999999</v>
      </c>
      <c r="F15" s="38">
        <f aca="true" t="shared" si="1" ref="F15:F44">E15/C15*100</f>
        <v>100</v>
      </c>
      <c r="G15" s="39"/>
      <c r="H15" s="57"/>
    </row>
    <row r="16" spans="1:8" s="14" customFormat="1" ht="22.5" customHeight="1">
      <c r="A16" s="114" t="s">
        <v>136</v>
      </c>
      <c r="B16" s="12" t="s">
        <v>137</v>
      </c>
      <c r="C16" s="9">
        <f>100000</f>
        <v>100000</v>
      </c>
      <c r="D16" s="9">
        <f>0</f>
        <v>0</v>
      </c>
      <c r="E16" s="9">
        <f>100000</f>
        <v>100000</v>
      </c>
      <c r="F16" s="59">
        <f t="shared" si="1"/>
        <v>100</v>
      </c>
      <c r="G16" s="88"/>
      <c r="H16" s="57"/>
    </row>
    <row r="17" spans="1:8" s="14" customFormat="1" ht="18.75">
      <c r="A17" s="25" t="s">
        <v>33</v>
      </c>
      <c r="B17" s="61" t="s">
        <v>34</v>
      </c>
      <c r="C17" s="9">
        <f>2982074.55</f>
        <v>2982074.55</v>
      </c>
      <c r="D17" s="9">
        <f>1496583.64</f>
        <v>1496583.64</v>
      </c>
      <c r="E17" s="9">
        <f>2982074.55</f>
        <v>2982074.55</v>
      </c>
      <c r="F17" s="59">
        <f t="shared" si="1"/>
        <v>100</v>
      </c>
      <c r="G17" s="39"/>
      <c r="H17" s="57"/>
    </row>
    <row r="18" spans="1:8" s="14" customFormat="1" ht="18.75">
      <c r="A18" s="60" t="s">
        <v>52</v>
      </c>
      <c r="B18" s="61" t="s">
        <v>86</v>
      </c>
      <c r="C18" s="9">
        <f>40872102.41</f>
        <v>40872102.41</v>
      </c>
      <c r="D18" s="9">
        <f>11473925.55</f>
        <v>11473925.55</v>
      </c>
      <c r="E18" s="9">
        <f>40872102.41</f>
        <v>40872102.41</v>
      </c>
      <c r="F18" s="59">
        <f t="shared" si="1"/>
        <v>100</v>
      </c>
      <c r="G18" s="39"/>
      <c r="H18" s="57"/>
    </row>
    <row r="19" spans="1:8" s="14" customFormat="1" ht="37.5" customHeight="1">
      <c r="A19" s="60" t="s">
        <v>38</v>
      </c>
      <c r="B19" s="61" t="s">
        <v>35</v>
      </c>
      <c r="C19" s="9">
        <f>27900</f>
        <v>27900</v>
      </c>
      <c r="D19" s="9">
        <f>5800</f>
        <v>5800</v>
      </c>
      <c r="E19" s="9">
        <f>27900</f>
        <v>27900</v>
      </c>
      <c r="F19" s="59">
        <f t="shared" si="1"/>
        <v>100</v>
      </c>
      <c r="G19" s="39"/>
      <c r="H19" s="57"/>
    </row>
    <row r="20" spans="1:8" s="14" customFormat="1" ht="18.75">
      <c r="A20" s="62" t="s">
        <v>19</v>
      </c>
      <c r="B20" s="63" t="s">
        <v>4</v>
      </c>
      <c r="C20" s="27">
        <f>SUM(C21:C24)</f>
        <v>115342245.75999999</v>
      </c>
      <c r="D20" s="27">
        <f>SUM(D21:D24)</f>
        <v>53270301.99</v>
      </c>
      <c r="E20" s="27">
        <f>SUM(E21:E24)</f>
        <v>115196245.75999999</v>
      </c>
      <c r="F20" s="38">
        <f t="shared" si="1"/>
        <v>99.87342018612695</v>
      </c>
      <c r="G20" s="39"/>
      <c r="H20" s="57"/>
    </row>
    <row r="21" spans="1:8" s="14" customFormat="1" ht="18" customHeight="1">
      <c r="A21" s="60" t="s">
        <v>20</v>
      </c>
      <c r="B21" s="61" t="s">
        <v>5</v>
      </c>
      <c r="C21" s="9">
        <f>2066956.5</f>
        <v>2066956.5</v>
      </c>
      <c r="D21" s="9">
        <f>446852.02</f>
        <v>446852.02</v>
      </c>
      <c r="E21" s="9">
        <f>2066956.5</f>
        <v>2066956.5</v>
      </c>
      <c r="F21" s="59">
        <f t="shared" si="1"/>
        <v>100</v>
      </c>
      <c r="G21" s="39"/>
      <c r="H21" s="57"/>
    </row>
    <row r="22" spans="1:8" s="14" customFormat="1" ht="18.75">
      <c r="A22" s="60" t="s">
        <v>21</v>
      </c>
      <c r="B22" s="58" t="s">
        <v>6</v>
      </c>
      <c r="C22" s="9">
        <f>10620656.78</f>
        <v>10620656.78</v>
      </c>
      <c r="D22" s="9">
        <f>2098351.24</f>
        <v>2098351.24</v>
      </c>
      <c r="E22" s="9">
        <f>10620656.78</f>
        <v>10620656.78</v>
      </c>
      <c r="F22" s="59">
        <f t="shared" si="1"/>
        <v>100</v>
      </c>
      <c r="G22" s="39"/>
      <c r="H22" s="57"/>
    </row>
    <row r="23" spans="1:8" s="14" customFormat="1" ht="18.75">
      <c r="A23" s="60" t="s">
        <v>56</v>
      </c>
      <c r="B23" s="58" t="s">
        <v>57</v>
      </c>
      <c r="C23" s="9">
        <f>46648132.48</f>
        <v>46648132.48</v>
      </c>
      <c r="D23" s="9">
        <f>9987055.31</f>
        <v>9987055.31</v>
      </c>
      <c r="E23" s="9">
        <f>46648132.48</f>
        <v>46648132.48</v>
      </c>
      <c r="F23" s="59">
        <f t="shared" si="1"/>
        <v>100</v>
      </c>
      <c r="G23" s="39"/>
      <c r="H23" s="57"/>
    </row>
    <row r="24" spans="1:8" s="14" customFormat="1" ht="37.5">
      <c r="A24" s="60" t="s">
        <v>130</v>
      </c>
      <c r="B24" s="46" t="s">
        <v>131</v>
      </c>
      <c r="C24" s="9">
        <f>56006500</f>
        <v>56006500</v>
      </c>
      <c r="D24" s="9">
        <f>40738043.42</f>
        <v>40738043.42</v>
      </c>
      <c r="E24" s="9">
        <f>55850000+10500</f>
        <v>55860500</v>
      </c>
      <c r="F24" s="59">
        <f t="shared" si="1"/>
        <v>99.73931597225322</v>
      </c>
      <c r="G24" s="39"/>
      <c r="H24" s="57"/>
    </row>
    <row r="25" spans="1:8" s="14" customFormat="1" ht="18.75">
      <c r="A25" s="55" t="s">
        <v>22</v>
      </c>
      <c r="B25" s="56" t="s">
        <v>7</v>
      </c>
      <c r="C25" s="27">
        <f>SUM(C26:C27)</f>
        <v>50720</v>
      </c>
      <c r="D25" s="27">
        <f>SUM(D26:D27)</f>
        <v>38720</v>
      </c>
      <c r="E25" s="27">
        <f>SUM(E26:E27)</f>
        <v>50720</v>
      </c>
      <c r="F25" s="38">
        <f t="shared" si="1"/>
        <v>100</v>
      </c>
      <c r="G25" s="39"/>
      <c r="H25" s="57"/>
    </row>
    <row r="26" spans="1:8" s="14" customFormat="1" ht="37.5">
      <c r="A26" s="114" t="s">
        <v>138</v>
      </c>
      <c r="B26" s="115" t="s">
        <v>139</v>
      </c>
      <c r="C26" s="9">
        <f>12000</f>
        <v>12000</v>
      </c>
      <c r="D26" s="9">
        <f>0</f>
        <v>0</v>
      </c>
      <c r="E26" s="9">
        <f>12000</f>
        <v>12000</v>
      </c>
      <c r="F26" s="59">
        <f t="shared" si="1"/>
        <v>100</v>
      </c>
      <c r="G26" s="88"/>
      <c r="H26" s="57"/>
    </row>
    <row r="27" spans="1:8" s="14" customFormat="1" ht="18.75">
      <c r="A27" s="60" t="s">
        <v>23</v>
      </c>
      <c r="B27" s="61" t="s">
        <v>101</v>
      </c>
      <c r="C27" s="9">
        <f>38720</f>
        <v>38720</v>
      </c>
      <c r="D27" s="9">
        <f>38720</f>
        <v>38720</v>
      </c>
      <c r="E27" s="9">
        <f>38720</f>
        <v>38720</v>
      </c>
      <c r="F27" s="59">
        <f t="shared" si="1"/>
        <v>100</v>
      </c>
      <c r="G27" s="39"/>
      <c r="H27" s="57"/>
    </row>
    <row r="28" spans="1:8" s="14" customFormat="1" ht="19.5" customHeight="1">
      <c r="A28" s="55" t="s">
        <v>24</v>
      </c>
      <c r="B28" s="56" t="s">
        <v>87</v>
      </c>
      <c r="C28" s="27">
        <f>SUM(C29:C29)</f>
        <v>36523176.56</v>
      </c>
      <c r="D28" s="27">
        <f>SUM(D29:D29)</f>
        <v>14071883.73</v>
      </c>
      <c r="E28" s="27">
        <f>SUM(E29:E29)</f>
        <v>36512646.24</v>
      </c>
      <c r="F28" s="38">
        <f t="shared" si="1"/>
        <v>99.97116811572317</v>
      </c>
      <c r="G28" s="39"/>
      <c r="H28" s="57"/>
    </row>
    <row r="29" spans="1:8" s="14" customFormat="1" ht="21" customHeight="1">
      <c r="A29" s="25" t="s">
        <v>25</v>
      </c>
      <c r="B29" s="61" t="s">
        <v>8</v>
      </c>
      <c r="C29" s="9">
        <f>36523176.56</f>
        <v>36523176.56</v>
      </c>
      <c r="D29" s="9">
        <f>14071883.73</f>
        <v>14071883.73</v>
      </c>
      <c r="E29" s="9">
        <f>36523176.56-10530.32</f>
        <v>36512646.24</v>
      </c>
      <c r="F29" s="59">
        <f t="shared" si="1"/>
        <v>99.97116811572317</v>
      </c>
      <c r="G29" s="116"/>
      <c r="H29" s="57"/>
    </row>
    <row r="30" spans="1:8" s="14" customFormat="1" ht="0.75" customHeight="1" hidden="1">
      <c r="A30" s="62" t="s">
        <v>26</v>
      </c>
      <c r="B30" s="56" t="s">
        <v>9</v>
      </c>
      <c r="C30" s="27">
        <f>SUM(C31:C34)</f>
        <v>0</v>
      </c>
      <c r="D30" s="27">
        <f>SUM(D31:D34)</f>
        <v>0</v>
      </c>
      <c r="E30" s="27">
        <f>SUM(E31:E34)</f>
        <v>0</v>
      </c>
      <c r="F30" s="38" t="e">
        <f t="shared" si="1"/>
        <v>#DIV/0!</v>
      </c>
      <c r="G30" s="39"/>
      <c r="H30" s="57"/>
    </row>
    <row r="31" spans="1:8" s="14" customFormat="1" ht="18.75" hidden="1">
      <c r="A31" s="25" t="s">
        <v>27</v>
      </c>
      <c r="B31" s="61" t="s">
        <v>41</v>
      </c>
      <c r="C31" s="9"/>
      <c r="D31" s="9"/>
      <c r="E31" s="9"/>
      <c r="F31" s="59" t="e">
        <f t="shared" si="1"/>
        <v>#DIV/0!</v>
      </c>
      <c r="G31" s="39"/>
      <c r="H31" s="57"/>
    </row>
    <row r="32" spans="1:8" s="14" customFormat="1" ht="18.75" hidden="1">
      <c r="A32" s="60" t="s">
        <v>28</v>
      </c>
      <c r="B32" s="61" t="s">
        <v>42</v>
      </c>
      <c r="C32" s="9"/>
      <c r="D32" s="9"/>
      <c r="E32" s="9"/>
      <c r="F32" s="59" t="e">
        <f t="shared" si="1"/>
        <v>#DIV/0!</v>
      </c>
      <c r="G32" s="39"/>
      <c r="H32" s="57"/>
    </row>
    <row r="33" spans="1:8" s="14" customFormat="1" ht="37.5" hidden="1">
      <c r="A33" s="60" t="s">
        <v>39</v>
      </c>
      <c r="B33" s="61" t="s">
        <v>43</v>
      </c>
      <c r="C33" s="9"/>
      <c r="D33" s="9"/>
      <c r="E33" s="9"/>
      <c r="F33" s="59" t="e">
        <f t="shared" si="1"/>
        <v>#DIV/0!</v>
      </c>
      <c r="G33" s="39"/>
      <c r="H33" s="57"/>
    </row>
    <row r="34" spans="1:8" s="14" customFormat="1" ht="18.75" hidden="1">
      <c r="A34" s="60" t="s">
        <v>40</v>
      </c>
      <c r="B34" s="61" t="s">
        <v>44</v>
      </c>
      <c r="C34" s="9"/>
      <c r="D34" s="9"/>
      <c r="E34" s="9"/>
      <c r="F34" s="59" t="e">
        <f t="shared" si="1"/>
        <v>#DIV/0!</v>
      </c>
      <c r="G34" s="39"/>
      <c r="H34" s="57"/>
    </row>
    <row r="35" spans="1:8" s="14" customFormat="1" ht="18.75">
      <c r="A35" s="62" t="s">
        <v>29</v>
      </c>
      <c r="B35" s="63" t="s">
        <v>10</v>
      </c>
      <c r="C35" s="27">
        <f>SUM(C36:C38)</f>
        <v>1045570.51</v>
      </c>
      <c r="D35" s="27">
        <f>SUM(D36:D38)</f>
        <v>889686.56</v>
      </c>
      <c r="E35" s="27">
        <f>SUM(E36:E38)</f>
        <v>1050821.66</v>
      </c>
      <c r="F35" s="38">
        <f t="shared" si="1"/>
        <v>100.50222820458086</v>
      </c>
      <c r="G35" s="39"/>
      <c r="H35" s="57"/>
    </row>
    <row r="36" spans="1:8" s="14" customFormat="1" ht="19.5" customHeight="1">
      <c r="A36" s="60" t="s">
        <v>30</v>
      </c>
      <c r="B36" s="61" t="s">
        <v>11</v>
      </c>
      <c r="C36" s="9">
        <f>208000</f>
        <v>208000</v>
      </c>
      <c r="D36" s="9">
        <f>113364.65</f>
        <v>113364.65</v>
      </c>
      <c r="E36" s="9">
        <f>208000+5251.15</f>
        <v>213251.15</v>
      </c>
      <c r="F36" s="59">
        <f t="shared" si="1"/>
        <v>102.52459134615384</v>
      </c>
      <c r="G36" s="39"/>
      <c r="H36" s="57"/>
    </row>
    <row r="37" spans="1:8" s="14" customFormat="1" ht="21" customHeight="1">
      <c r="A37" s="60" t="s">
        <v>31</v>
      </c>
      <c r="B37" s="61" t="s">
        <v>12</v>
      </c>
      <c r="C37" s="9">
        <f>837570.51</f>
        <v>837570.51</v>
      </c>
      <c r="D37" s="9">
        <f>776321.91</f>
        <v>776321.91</v>
      </c>
      <c r="E37" s="9">
        <f>837570.51</f>
        <v>837570.51</v>
      </c>
      <c r="F37" s="59">
        <f t="shared" si="1"/>
        <v>100</v>
      </c>
      <c r="G37" s="39"/>
      <c r="H37" s="57"/>
    </row>
    <row r="38" spans="1:8" s="14" customFormat="1" ht="18.75" customHeight="1" hidden="1">
      <c r="A38" s="60" t="s">
        <v>32</v>
      </c>
      <c r="B38" s="58" t="s">
        <v>45</v>
      </c>
      <c r="C38" s="9">
        <v>0</v>
      </c>
      <c r="D38" s="9">
        <v>0</v>
      </c>
      <c r="E38" s="9"/>
      <c r="F38" s="59" t="e">
        <f t="shared" si="1"/>
        <v>#DIV/0!</v>
      </c>
      <c r="G38" s="39"/>
      <c r="H38" s="57"/>
    </row>
    <row r="39" spans="1:8" s="14" customFormat="1" ht="18.75">
      <c r="A39" s="62" t="s">
        <v>36</v>
      </c>
      <c r="B39" s="56" t="s">
        <v>53</v>
      </c>
      <c r="C39" s="27">
        <f>SUM(C40)</f>
        <v>198696</v>
      </c>
      <c r="D39" s="27">
        <f>SUM(D40)</f>
        <v>46800</v>
      </c>
      <c r="E39" s="27">
        <f>SUM(E40)</f>
        <v>198696</v>
      </c>
      <c r="F39" s="59">
        <f t="shared" si="1"/>
        <v>100</v>
      </c>
      <c r="G39" s="39"/>
      <c r="H39" s="57"/>
    </row>
    <row r="40" spans="1:8" s="14" customFormat="1" ht="19.5" customHeight="1">
      <c r="A40" s="60" t="s">
        <v>54</v>
      </c>
      <c r="B40" s="58" t="s">
        <v>55</v>
      </c>
      <c r="C40" s="9">
        <f>198696</f>
        <v>198696</v>
      </c>
      <c r="D40" s="9">
        <f>46800</f>
        <v>46800</v>
      </c>
      <c r="E40" s="9">
        <f>198696</f>
        <v>198696</v>
      </c>
      <c r="F40" s="59">
        <f t="shared" si="1"/>
        <v>100</v>
      </c>
      <c r="G40" s="39"/>
      <c r="H40" s="57"/>
    </row>
    <row r="41" spans="1:8" s="41" customFormat="1" ht="37.5" customHeight="1">
      <c r="A41" s="117">
        <v>1300</v>
      </c>
      <c r="B41" s="118" t="s">
        <v>114</v>
      </c>
      <c r="C41" s="27">
        <f>C42</f>
        <v>36279.18</v>
      </c>
      <c r="D41" s="27">
        <f>D42</f>
        <v>17482.08</v>
      </c>
      <c r="E41" s="27">
        <f>E42</f>
        <v>36279.18</v>
      </c>
      <c r="F41" s="38">
        <f t="shared" si="1"/>
        <v>100</v>
      </c>
      <c r="G41" s="39"/>
      <c r="H41" s="40"/>
    </row>
    <row r="42" spans="1:8" s="14" customFormat="1" ht="39.75" customHeight="1">
      <c r="A42" s="119">
        <v>1301</v>
      </c>
      <c r="B42" s="120" t="s">
        <v>102</v>
      </c>
      <c r="C42" s="9">
        <f>36279.18</f>
        <v>36279.18</v>
      </c>
      <c r="D42" s="9">
        <f>17482.08</f>
        <v>17482.08</v>
      </c>
      <c r="E42" s="9">
        <f>36279.18</f>
        <v>36279.18</v>
      </c>
      <c r="F42" s="59">
        <f t="shared" si="1"/>
        <v>100</v>
      </c>
      <c r="G42" s="39"/>
      <c r="H42" s="57"/>
    </row>
    <row r="43" spans="1:10" s="14" customFormat="1" ht="18.75">
      <c r="A43" s="25"/>
      <c r="B43" s="56" t="s">
        <v>109</v>
      </c>
      <c r="C43" s="27">
        <f>C35+C30+C28+C25+C20+C15+C11+C4+C39+C41</f>
        <v>205475082.87999997</v>
      </c>
      <c r="D43" s="27">
        <f>D35+D30+D28+D25+D20+D15+D11+D4+D39+D41</f>
        <v>86034320.67999999</v>
      </c>
      <c r="E43" s="27">
        <f>E35+E30+E28+E25+E20+E15+E11+E4+E39+E41</f>
        <v>205104938.07000002</v>
      </c>
      <c r="F43" s="38">
        <f t="shared" si="1"/>
        <v>99.81985902873872</v>
      </c>
      <c r="G43" s="39"/>
      <c r="H43" s="57"/>
      <c r="I43" s="51"/>
      <c r="J43" s="44"/>
    </row>
    <row r="44" spans="1:10" s="41" customFormat="1" ht="37.5">
      <c r="A44" s="62"/>
      <c r="B44" s="56" t="s">
        <v>122</v>
      </c>
      <c r="C44" s="27">
        <f>Доходы!D28-Расходы!C43</f>
        <v>-10479954.669999957</v>
      </c>
      <c r="D44" s="27">
        <f>Доходы!E28-Расходы!D43</f>
        <v>-1021734.8299999982</v>
      </c>
      <c r="E44" s="27">
        <f>Доходы!F28-Расходы!E43</f>
        <v>-10391875.290000021</v>
      </c>
      <c r="F44" s="38">
        <f t="shared" si="1"/>
        <v>99.15954426547214</v>
      </c>
      <c r="G44" s="39"/>
      <c r="H44" s="64"/>
      <c r="I44" s="65"/>
      <c r="J44" s="66"/>
    </row>
    <row r="45" spans="1:8" ht="18.75">
      <c r="A45" s="67"/>
      <c r="B45" s="68"/>
      <c r="C45" s="69"/>
      <c r="D45" s="69"/>
      <c r="E45" s="70"/>
      <c r="F45" s="29"/>
      <c r="H45" s="71"/>
    </row>
    <row r="46" spans="1:8" ht="18.75">
      <c r="A46" s="67"/>
      <c r="B46" s="68"/>
      <c r="C46" s="69"/>
      <c r="D46" s="69"/>
      <c r="H46" s="72"/>
    </row>
    <row r="47" spans="1:7" ht="18.75">
      <c r="A47" s="67"/>
      <c r="B47" s="68"/>
      <c r="C47" s="69"/>
      <c r="D47" s="69"/>
      <c r="G47" s="73"/>
    </row>
    <row r="48" ht="19.5">
      <c r="A48" s="74"/>
    </row>
    <row r="49" ht="19.5">
      <c r="A49" s="74"/>
    </row>
    <row r="50" ht="18.75">
      <c r="A50" s="76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7" width="17.25390625" style="1" customWidth="1"/>
    <col min="8" max="16384" width="9.125" style="1" customWidth="1"/>
  </cols>
  <sheetData>
    <row r="1" spans="1:6" s="6" customFormat="1" ht="29.25" customHeight="1">
      <c r="A1" s="123" t="s">
        <v>129</v>
      </c>
      <c r="B1" s="123"/>
      <c r="C1" s="5"/>
      <c r="D1" s="5"/>
      <c r="E1" s="4"/>
      <c r="F1" s="8"/>
    </row>
    <row r="2" spans="1:6" ht="153" customHeight="1">
      <c r="A2" s="2" t="s">
        <v>103</v>
      </c>
      <c r="B2" s="2" t="s">
        <v>104</v>
      </c>
      <c r="C2" s="3" t="s">
        <v>150</v>
      </c>
      <c r="D2" s="2" t="s">
        <v>149</v>
      </c>
      <c r="E2" s="2" t="s">
        <v>134</v>
      </c>
      <c r="F2" s="2" t="s">
        <v>135</v>
      </c>
    </row>
    <row r="3" spans="1:7" ht="60" customHeight="1">
      <c r="A3" s="2" t="s">
        <v>106</v>
      </c>
      <c r="B3" s="12" t="s">
        <v>107</v>
      </c>
      <c r="C3" s="89">
        <f>3321684.72</f>
        <v>3321684.72</v>
      </c>
      <c r="D3" s="89">
        <f>4013702.37</f>
        <v>4013702.37</v>
      </c>
      <c r="E3" s="92">
        <f>3321684.72</f>
        <v>3321684.72</v>
      </c>
      <c r="F3" s="90">
        <f>E3/C3*100</f>
        <v>100</v>
      </c>
      <c r="G3" s="84"/>
    </row>
    <row r="4" spans="1:7" ht="57" customHeight="1">
      <c r="A4" s="7" t="s">
        <v>98</v>
      </c>
      <c r="B4" s="12" t="s">
        <v>99</v>
      </c>
      <c r="C4" s="90">
        <f>7158269.95</f>
        <v>7158269.95</v>
      </c>
      <c r="D4" s="91">
        <f>-2991967.54</f>
        <v>-2991967.54</v>
      </c>
      <c r="E4" s="9">
        <f>Доходы!F28-Расходы!E43+Источники!E3</f>
        <v>-7070190.570000021</v>
      </c>
      <c r="F4" s="90">
        <f>E4/C4*100</f>
        <v>-98.7695437498836</v>
      </c>
      <c r="G4" s="84"/>
    </row>
    <row r="5" spans="1:7" s="13" customFormat="1" ht="56.25">
      <c r="A5" s="42" t="s">
        <v>105</v>
      </c>
      <c r="B5" s="11" t="s">
        <v>100</v>
      </c>
      <c r="C5" s="10">
        <f>SUM(C3:C4)</f>
        <v>10479954.67</v>
      </c>
      <c r="D5" s="10">
        <f>SUM(D3:D4)</f>
        <v>1021734.8300000001</v>
      </c>
      <c r="E5" s="10">
        <f>Доходы!F28-Расходы!E43</f>
        <v>-10391875.290000021</v>
      </c>
      <c r="F5" s="10">
        <f>E5/C5*100</f>
        <v>-99.15954426547174</v>
      </c>
      <c r="G5" s="85"/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2020-07-16T07:35:15Z</cp:lastPrinted>
  <dcterms:created xsi:type="dcterms:W3CDTF">2006-11-14T10:25:35Z</dcterms:created>
  <dcterms:modified xsi:type="dcterms:W3CDTF">2020-10-09T07:37:24Z</dcterms:modified>
  <cp:category/>
  <cp:version/>
  <cp:contentType/>
  <cp:contentStatus/>
</cp:coreProperties>
</file>