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<sst xmlns="http://schemas.openxmlformats.org/spreadsheetml/2006/main" count="62" uniqueCount="61">
  <si>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НАЛОГОВЫЕ И НЕНАЛОГОВЫЕ ДОХОДЫ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</si>
  <si>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</si>
  <si>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</si>
  <si>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</si>
  <si>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</si>
  <si>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000 1 03 02000 00 0000 000</t>
  </si>
  <si>
    <t>Проект 
на 2021 год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</si>
  <si>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</si>
  <si>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</si>
  <si>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</si>
  <si>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</si>
  <si>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</si>
  <si>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000 2 00 00000 00 0000 000</t>
  </si>
  <si>
    <t>ИТОГО:</t>
  </si>
  <si>
    <t>6=5/3</t>
  </si>
  <si>
    <t>7=5/4</t>
  </si>
  <si>
    <t>9=8/3</t>
  </si>
  <si>
    <t>10=8/4</t>
  </si>
  <si>
    <t>12=11/3</t>
  </si>
  <si>
    <t>13=11/4</t>
  </si>
  <si>
    <t>Проект 
на 2022 год</t>
  </si>
  <si>
    <t>000 1 06 01000 00 0000 000</t>
  </si>
  <si>
    <t>Налог на имущество физических лиц</t>
  </si>
  <si>
    <t>(руб.)</t>
  </si>
  <si>
    <t>000 1 01 02000 00 0000 000</t>
  </si>
  <si>
    <t>Налог на доходы физических лиц</t>
  </si>
  <si>
    <t>000 1 05 03000 00 0000 000</t>
  </si>
  <si>
    <t>Единый сельскохозяйственный налог</t>
  </si>
  <si>
    <t xml:space="preserve">000 1 06 06000 00 0000 000
</t>
  </si>
  <si>
    <t>Земельный налог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</si>
  <si>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 </t>
  </si>
  <si>
    <t>000 1 11 05000 00 0000 000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</si>
  <si>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</si>
  <si>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</si>
  <si>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</si>
  <si>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000 1 14 06000 00 0000 000</t>
  </si>
  <si>
    <t>000 1 16 90000 00 0000 000</t>
  </si>
  <si>
    <t>Прочие поступления от денежных взысканий (штрафов) и иных сумм в возмещение ущерба</t>
  </si>
  <si>
    <t>000 1 17 05000 00 0000 000</t>
  </si>
  <si>
    <t>Прочие неналоговые доходы</t>
  </si>
  <si>
    <t>Доходы от компенсации затрат государства</t>
  </si>
  <si>
    <t>000 1 13 02000 00 0000 000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</si>
  <si>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</si>
  <si>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Прочие безвозмездные поступления в бюджеты городских поселений</t>
  </si>
  <si>
    <t>000 2 07 05000 00 0000 150</t>
  </si>
  <si>
    <t>Сведения о доходах бюджета Южского городского поселения по видам доходов на 2021 год и на плановый период 2022 и 2023 годов в сравнении с исполнением за 2019 год и ожидаемым исполнением за 2020 год</t>
  </si>
  <si>
    <t>Исполнено 
за 2019 год</t>
  </si>
  <si>
    <t xml:space="preserve">Ожидаемое исполнение за 2020 год </t>
  </si>
  <si>
    <t xml:space="preserve">2021 год к исполнению 
за 2019 год </t>
  </si>
  <si>
    <t xml:space="preserve">2021 год к ожидаемому исполнению 
за 2020 год </t>
  </si>
  <si>
    <t xml:space="preserve">2022 год к исполнению 
за 2019 год </t>
  </si>
  <si>
    <t>Проект 
на 2023 год</t>
  </si>
  <si>
    <t xml:space="preserve">2023 год к исполнению 
за 2019 год </t>
  </si>
  <si>
    <t xml:space="preserve">2023 год к ожидаемому исполнению 
за 2020 год </t>
  </si>
  <si>
    <t>000 2 02 10000 00 0000 150</t>
  </si>
  <si>
    <t>000 2 02 20000 00 0000 150</t>
  </si>
  <si>
    <t>000 2 02 30000 00 0000 150</t>
  </si>
  <si>
    <t>000 2 02 40000 00 0000 150</t>
  </si>
  <si>
    <t>000 2 19 00000 00 0000 150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</si>
  <si>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</si>
  <si>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000 1 16 07000 00 0000 140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</si>
</sst>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  <numFmt numFmtId="187" formatCode="#,##0.0_ ;\-#,##0.0\ "/>
    <numFmt numFmtId="188" formatCode="0.0_ ;\-0.0\ "/>
    <numFmt numFmtId="189" formatCode="#,##0.00_ ;\-#,##0.00\ 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rgb="FF000000"/>
      <name val="Arial Cyr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4" fontId="29" fillId="16" borderId="1">
      <alignment horizontal="right" vertical="top" shrinkToFit="1"/>
      <protection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2" applyNumberFormat="0" applyAlignment="0" applyProtection="0"/>
    <xf numFmtId="0" fontId="4" fillId="21" borderId="3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11" xfId="0" applyFont="1" applyFill="1" applyBorder="1" applyAlignment="1">
      <alignment horizontal="center" vertical="top" wrapText="1"/>
    </xf>
    <xf numFmtId="49" fontId="22" fillId="0" borderId="0" xfId="0" applyNumberFormat="1" applyFont="1" applyFill="1" applyAlignment="1">
      <alignment vertical="center"/>
    </xf>
    <xf numFmtId="0" fontId="30" fillId="0" borderId="0" xfId="0" applyNumberFormat="1" applyFont="1" applyFill="1" applyBorder="1" applyAlignment="1">
      <alignment horizontal="center" wrapText="1"/>
    </xf>
    <xf numFmtId="0" fontId="30" fillId="0" borderId="12" xfId="0" applyNumberFormat="1" applyFont="1" applyFill="1" applyBorder="1" applyAlignment="1">
      <alignment horizontal="center" wrapText="1"/>
    </xf>
    <xf numFmtId="0" fontId="31" fillId="0" borderId="12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justify" vertical="top" wrapText="1"/>
    </xf>
    <xf numFmtId="0" fontId="20" fillId="0" borderId="11" xfId="0" applyFont="1" applyFill="1" applyBorder="1" applyAlignment="1">
      <alignment horizontal="center" vertical="top"/>
    </xf>
    <xf numFmtId="185" fontId="20" fillId="0" borderId="11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center" vertical="top"/>
    </xf>
    <xf numFmtId="185" fontId="21" fillId="0" borderId="11" xfId="0" applyNumberFormat="1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justify" vertical="top" wrapText="1"/>
    </xf>
    <xf numFmtId="0" fontId="21" fillId="0" borderId="11" xfId="0" applyFont="1" applyFill="1" applyBorder="1" applyAlignment="1">
      <alignment horizontal="justify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justify" vertical="center" wrapText="1"/>
    </xf>
    <xf numFmtId="0" fontId="32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23" fillId="0" borderId="0" xfId="0" applyNumberFormat="1" applyFont="1" applyFill="1" applyAlignment="1">
      <alignment/>
    </xf>
    <xf numFmtId="4" fontId="20" fillId="0" borderId="11" xfId="0" applyNumberFormat="1" applyFont="1" applyFill="1" applyBorder="1" applyAlignment="1">
      <alignment horizontal="right" vertical="top"/>
    </xf>
    <xf numFmtId="4" fontId="21" fillId="0" borderId="11" xfId="0" applyNumberFormat="1" applyFont="1" applyFill="1" applyBorder="1" applyAlignment="1">
      <alignment horizontal="right" vertical="top"/>
    </xf>
    <xf numFmtId="189" fontId="20" fillId="0" borderId="11" xfId="63" applyNumberFormat="1" applyFont="1" applyFill="1" applyBorder="1" applyAlignment="1">
      <alignment horizontal="right" vertical="top"/>
    </xf>
    <xf numFmtId="189" fontId="21" fillId="0" borderId="11" xfId="63" applyNumberFormat="1" applyFont="1" applyFill="1" applyBorder="1" applyAlignment="1">
      <alignment horizontal="right" vertical="top"/>
    </xf>
    <xf numFmtId="0" fontId="33" fillId="0" borderId="0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righ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90" zoomScaleNormal="90" zoomScalePageLayoutView="0" workbookViewId="0" topLeftCell="A1">
      <selection activeCell="A1" sqref="A1:M1"/>
    </sheetView>
  </sheetViews>
  <sheetFormatPr defaultColWidth="9.00390625" defaultRowHeight="12.75"/>
  <cols>
    <col min="1" max="1" width="39.625" style="6" customWidth="1"/>
    <col min="2" max="2" width="34.125" style="6" customWidth="1"/>
    <col min="3" max="3" width="17.75390625" style="6" customWidth="1"/>
    <col min="4" max="4" width="17.125" style="6" customWidth="1"/>
    <col min="5" max="5" width="18.375" style="6" customWidth="1"/>
    <col min="6" max="6" width="14.875" style="6" customWidth="1"/>
    <col min="7" max="7" width="15.875" style="6" customWidth="1"/>
    <col min="8" max="8" width="17.00390625" style="6" customWidth="1"/>
    <col min="9" max="9" width="15.00390625" style="6" customWidth="1"/>
    <col min="10" max="10" width="15.375" style="6" customWidth="1"/>
    <col min="11" max="11" width="17.75390625" style="6" customWidth="1"/>
    <col min="12" max="12" width="16.125" style="6" customWidth="1"/>
    <col min="13" max="13" width="15.375" style="6" customWidth="1"/>
    <col min="14" max="16384" width="9.125" style="6" customWidth="1"/>
  </cols>
  <sheetData>
    <row r="1" spans="1:13" s="2" customFormat="1" ht="26.25" customHeight="1">
      <c r="A1" s="30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21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23</v>
      </c>
    </row>
    <row r="3" spans="1:13" s="25" customFormat="1" ht="68.25" customHeight="1">
      <c r="A3" s="7" t="s">
        <v>2</v>
      </c>
      <c r="B3" s="8" t="s">
        <v>3</v>
      </c>
      <c r="C3" s="1" t="s">
        <v>46</v>
      </c>
      <c r="D3" s="1" t="s">
        <v>47</v>
      </c>
      <c r="E3" s="1" t="s">
        <v>6</v>
      </c>
      <c r="F3" s="1" t="s">
        <v>48</v>
      </c>
      <c r="G3" s="1" t="s">
        <v>49</v>
      </c>
      <c r="H3" s="1" t="s">
        <v>20</v>
      </c>
      <c r="I3" s="1" t="s">
        <v>50</v>
      </c>
      <c r="J3" s="1" t="s">
        <v>49</v>
      </c>
      <c r="K3" s="1" t="s">
        <v>51</v>
      </c>
      <c r="L3" s="1" t="s">
        <v>52</v>
      </c>
      <c r="M3" s="1" t="s">
        <v>53</v>
      </c>
    </row>
    <row r="4" spans="1:13" ht="16.5">
      <c r="A4" s="9">
        <v>1</v>
      </c>
      <c r="B4" s="10">
        <v>2</v>
      </c>
      <c r="C4" s="9">
        <v>3</v>
      </c>
      <c r="D4" s="9">
        <v>4</v>
      </c>
      <c r="E4" s="9">
        <v>5</v>
      </c>
      <c r="F4" s="9" t="s">
        <v>14</v>
      </c>
      <c r="G4" s="9" t="s">
        <v>15</v>
      </c>
      <c r="H4" s="9">
        <v>8</v>
      </c>
      <c r="I4" s="9" t="s">
        <v>16</v>
      </c>
      <c r="J4" s="9" t="s">
        <v>17</v>
      </c>
      <c r="K4" s="9">
        <v>11</v>
      </c>
      <c r="L4" s="9" t="s">
        <v>18</v>
      </c>
      <c r="M4" s="9" t="s">
        <v>19</v>
      </c>
    </row>
    <row r="5" spans="1:13" ht="33">
      <c r="A5" s="11" t="s">
        <v>0</v>
      </c>
      <c r="B5" s="12" t="s">
        <v>4</v>
      </c>
      <c r="C5" s="26">
        <f>SUM(C6:C17)</f>
        <v>47762612.50999998</v>
      </c>
      <c r="D5" s="26">
        <f>SUM(D6:D17)</f>
        <v>47872778.25000001</v>
      </c>
      <c r="E5" s="26">
        <f>SUM(E6:E17)</f>
        <v>47796660.82</v>
      </c>
      <c r="F5" s="13">
        <f>E5/C5</f>
        <v>1.000712865318933</v>
      </c>
      <c r="G5" s="13">
        <f>E5/D5</f>
        <v>0.9984100060037772</v>
      </c>
      <c r="H5" s="28">
        <f>SUM(H6:H17)</f>
        <v>47097160.82</v>
      </c>
      <c r="I5" s="13">
        <f>H5/C5</f>
        <v>0.9860675190273426</v>
      </c>
      <c r="J5" s="13">
        <f>H5/D5</f>
        <v>0.9837983618592262</v>
      </c>
      <c r="K5" s="28">
        <f>SUM(K6:K17)</f>
        <v>47097160.82</v>
      </c>
      <c r="L5" s="13">
        <f aca="true" t="shared" si="0" ref="L5:L24">K5/C5</f>
        <v>0.9860675190273426</v>
      </c>
      <c r="M5" s="13">
        <f>K5/D5</f>
        <v>0.9837983618592262</v>
      </c>
    </row>
    <row r="6" spans="1:13" ht="18.75" customHeight="1">
      <c r="A6" s="14" t="s">
        <v>25</v>
      </c>
      <c r="B6" s="15" t="s">
        <v>24</v>
      </c>
      <c r="C6" s="27">
        <f>38225435.8</f>
        <v>38225435.8</v>
      </c>
      <c r="D6" s="27">
        <f>39486750.38</f>
        <v>39486750.38</v>
      </c>
      <c r="E6" s="27">
        <f>39825000</f>
        <v>39825000</v>
      </c>
      <c r="F6" s="16">
        <f aca="true" t="shared" si="1" ref="F6:F25">E6/C6</f>
        <v>1.0418455451592263</v>
      </c>
      <c r="G6" s="16">
        <f aca="true" t="shared" si="2" ref="G6:G25">E6/D6</f>
        <v>1.0085661548936</v>
      </c>
      <c r="H6" s="29">
        <f>39450500</f>
        <v>39450500</v>
      </c>
      <c r="I6" s="16">
        <f aca="true" t="shared" si="3" ref="I6:I25">H6/C6</f>
        <v>1.0320484037490032</v>
      </c>
      <c r="J6" s="16">
        <f aca="true" t="shared" si="4" ref="J6:J25">H6/D6</f>
        <v>0.9990819609197732</v>
      </c>
      <c r="K6" s="29">
        <f>39450500</f>
        <v>39450500</v>
      </c>
      <c r="L6" s="16">
        <f t="shared" si="0"/>
        <v>1.0320484037490032</v>
      </c>
      <c r="M6" s="16">
        <f aca="true" t="shared" si="5" ref="M6:M25">K6/D6</f>
        <v>0.9990819609197732</v>
      </c>
    </row>
    <row r="7" spans="1:13" ht="67.5" customHeight="1">
      <c r="A7" s="14" t="s">
        <v>1</v>
      </c>
      <c r="B7" s="15" t="s">
        <v>5</v>
      </c>
      <c r="C7" s="27">
        <f>2177771.79</f>
        <v>2177771.79</v>
      </c>
      <c r="D7" s="27">
        <f>2058090.2</f>
        <v>2058090.2</v>
      </c>
      <c r="E7" s="27">
        <f>2316660.82</f>
        <v>2316660.82</v>
      </c>
      <c r="F7" s="16">
        <f t="shared" si="1"/>
        <v>1.0637757503507748</v>
      </c>
      <c r="G7" s="16">
        <f t="shared" si="2"/>
        <v>1.1256361941765234</v>
      </c>
      <c r="H7" s="29">
        <f>2316660.82</f>
        <v>2316660.82</v>
      </c>
      <c r="I7" s="16">
        <f t="shared" si="3"/>
        <v>1.0637757503507748</v>
      </c>
      <c r="J7" s="16">
        <f t="shared" si="4"/>
        <v>1.1256361941765234</v>
      </c>
      <c r="K7" s="29">
        <f>2316660.82</f>
        <v>2316660.82</v>
      </c>
      <c r="L7" s="16">
        <f t="shared" si="0"/>
        <v>1.0637757503507748</v>
      </c>
      <c r="M7" s="16">
        <f t="shared" si="5"/>
        <v>1.1256361941765234</v>
      </c>
    </row>
    <row r="8" spans="1:13" ht="33">
      <c r="A8" s="14" t="s">
        <v>27</v>
      </c>
      <c r="B8" s="15" t="s">
        <v>26</v>
      </c>
      <c r="C8" s="27">
        <f>325</f>
        <v>325</v>
      </c>
      <c r="D8" s="27">
        <f>0</f>
        <v>0</v>
      </c>
      <c r="E8" s="27">
        <f>0</f>
        <v>0</v>
      </c>
      <c r="F8" s="16">
        <f t="shared" si="1"/>
        <v>0</v>
      </c>
      <c r="G8" s="16">
        <f>0</f>
        <v>0</v>
      </c>
      <c r="H8" s="29">
        <f>0</f>
        <v>0</v>
      </c>
      <c r="I8" s="16">
        <f t="shared" si="3"/>
        <v>0</v>
      </c>
      <c r="J8" s="16">
        <f>0</f>
        <v>0</v>
      </c>
      <c r="K8" s="29">
        <f>0</f>
        <v>0</v>
      </c>
      <c r="L8" s="16">
        <f t="shared" si="0"/>
        <v>0</v>
      </c>
      <c r="M8" s="16">
        <f>0</f>
        <v>0</v>
      </c>
    </row>
    <row r="9" spans="1:13" ht="34.5" customHeight="1">
      <c r="A9" s="14" t="s">
        <v>22</v>
      </c>
      <c r="B9" s="15" t="s">
        <v>21</v>
      </c>
      <c r="C9" s="27">
        <f>959838.41</f>
        <v>959838.41</v>
      </c>
      <c r="D9" s="27">
        <f>920000</f>
        <v>920000</v>
      </c>
      <c r="E9" s="27">
        <f>925000</f>
        <v>925000</v>
      </c>
      <c r="F9" s="16">
        <f t="shared" si="1"/>
        <v>0.9637038801145705</v>
      </c>
      <c r="G9" s="16">
        <f t="shared" si="2"/>
        <v>1.0054347826086956</v>
      </c>
      <c r="H9" s="29">
        <f>1250000</f>
        <v>1250000</v>
      </c>
      <c r="I9" s="16">
        <f t="shared" si="3"/>
        <v>1.3023025406953654</v>
      </c>
      <c r="J9" s="16">
        <f t="shared" si="4"/>
        <v>1.358695652173913</v>
      </c>
      <c r="K9" s="29">
        <f>1250000</f>
        <v>1250000</v>
      </c>
      <c r="L9" s="16">
        <f t="shared" si="0"/>
        <v>1.3023025406953654</v>
      </c>
      <c r="M9" s="16">
        <f t="shared" si="5"/>
        <v>1.358695652173913</v>
      </c>
    </row>
    <row r="10" spans="1:13" ht="18.75" customHeight="1">
      <c r="A10" s="14" t="s">
        <v>29</v>
      </c>
      <c r="B10" s="17" t="s">
        <v>28</v>
      </c>
      <c r="C10" s="27">
        <f>2711158.84</f>
        <v>2711158.84</v>
      </c>
      <c r="D10" s="27">
        <f>2980000</f>
        <v>2980000</v>
      </c>
      <c r="E10" s="27">
        <f>3100000</f>
        <v>3100000</v>
      </c>
      <c r="F10" s="16">
        <f t="shared" si="1"/>
        <v>1.143422493091552</v>
      </c>
      <c r="G10" s="16">
        <f t="shared" si="2"/>
        <v>1.0402684563758389</v>
      </c>
      <c r="H10" s="29">
        <f>2750000</f>
        <v>2750000</v>
      </c>
      <c r="I10" s="16">
        <f t="shared" si="3"/>
        <v>1.0143264051618606</v>
      </c>
      <c r="J10" s="16">
        <f t="shared" si="4"/>
        <v>0.9228187919463087</v>
      </c>
      <c r="K10" s="29">
        <f>2750000</f>
        <v>2750000</v>
      </c>
      <c r="L10" s="16">
        <f t="shared" si="0"/>
        <v>1.0143264051618606</v>
      </c>
      <c r="M10" s="16">
        <f t="shared" si="5"/>
        <v>0.9228187919463087</v>
      </c>
    </row>
    <row r="11" spans="1:13" ht="182.25" customHeight="1">
      <c r="A11" s="18" t="s">
        <v>30</v>
      </c>
      <c r="B11" s="17" t="s">
        <v>31</v>
      </c>
      <c r="C11" s="27">
        <f>3295899.73</f>
        <v>3295899.73</v>
      </c>
      <c r="D11" s="27">
        <f>2277048.9</f>
        <v>2277048.9</v>
      </c>
      <c r="E11" s="27">
        <f>1590000</f>
        <v>1590000</v>
      </c>
      <c r="F11" s="16">
        <f t="shared" si="1"/>
        <v>0.482417588595755</v>
      </c>
      <c r="G11" s="16">
        <f t="shared" si="2"/>
        <v>0.6982722241933408</v>
      </c>
      <c r="H11" s="29">
        <f>1290000</f>
        <v>1290000</v>
      </c>
      <c r="I11" s="16">
        <f t="shared" si="3"/>
        <v>0.3913954020682541</v>
      </c>
      <c r="J11" s="16">
        <f t="shared" si="4"/>
        <v>0.5665227479304463</v>
      </c>
      <c r="K11" s="29">
        <f>1290000</f>
        <v>1290000</v>
      </c>
      <c r="L11" s="16">
        <f t="shared" si="0"/>
        <v>0.3913954020682541</v>
      </c>
      <c r="M11" s="16">
        <f t="shared" si="5"/>
        <v>0.5665227479304463</v>
      </c>
    </row>
    <row r="12" spans="1:13" ht="33" hidden="1">
      <c r="A12" s="14" t="s">
        <v>40</v>
      </c>
      <c r="B12" s="17" t="s">
        <v>41</v>
      </c>
      <c r="C12" s="27">
        <f>0</f>
        <v>0</v>
      </c>
      <c r="D12" s="27">
        <f>0</f>
        <v>0</v>
      </c>
      <c r="E12" s="27">
        <f>0</f>
        <v>0</v>
      </c>
      <c r="F12" s="16" t="e">
        <f t="shared" si="1"/>
        <v>#DIV/0!</v>
      </c>
      <c r="G12" s="16" t="e">
        <f t="shared" si="2"/>
        <v>#DIV/0!</v>
      </c>
      <c r="H12" s="29">
        <f>0</f>
        <v>0</v>
      </c>
      <c r="I12" s="16" t="e">
        <f t="shared" si="3"/>
        <v>#DIV/0!</v>
      </c>
      <c r="J12" s="16" t="e">
        <f t="shared" si="4"/>
        <v>#DIV/0!</v>
      </c>
      <c r="K12" s="29">
        <f>0</f>
        <v>0</v>
      </c>
      <c r="L12" s="16" t="e">
        <f t="shared" si="0"/>
        <v>#DIV/0!</v>
      </c>
      <c r="M12" s="16" t="e">
        <f t="shared" si="5"/>
        <v>#DIV/0!</v>
      </c>
    </row>
    <row r="13" spans="1:13" ht="167.25" customHeight="1" hidden="1">
      <c r="A13" s="18" t="s">
        <v>33</v>
      </c>
      <c r="B13" s="17" t="s">
        <v>32</v>
      </c>
      <c r="C13" s="27">
        <f>0</f>
        <v>0</v>
      </c>
      <c r="D13" s="27">
        <f>0</f>
        <v>0</v>
      </c>
      <c r="E13" s="27">
        <f>0</f>
        <v>0</v>
      </c>
      <c r="F13" s="16" t="e">
        <f t="shared" si="1"/>
        <v>#DIV/0!</v>
      </c>
      <c r="G13" s="16" t="e">
        <f t="shared" si="2"/>
        <v>#DIV/0!</v>
      </c>
      <c r="H13" s="29">
        <f>0</f>
        <v>0</v>
      </c>
      <c r="I13" s="16" t="e">
        <f t="shared" si="3"/>
        <v>#DIV/0!</v>
      </c>
      <c r="J13" s="16" t="e">
        <f t="shared" si="4"/>
        <v>#DIV/0!</v>
      </c>
      <c r="K13" s="29">
        <f>0</f>
        <v>0</v>
      </c>
      <c r="L13" s="16" t="e">
        <f t="shared" si="0"/>
        <v>#DIV/0!</v>
      </c>
      <c r="M13" s="16" t="e">
        <f t="shared" si="5"/>
        <v>#DIV/0!</v>
      </c>
    </row>
    <row r="14" spans="1:13" ht="66">
      <c r="A14" s="18" t="s">
        <v>34</v>
      </c>
      <c r="B14" s="17" t="s">
        <v>35</v>
      </c>
      <c r="C14" s="27">
        <f>357760.71</f>
        <v>357760.71</v>
      </c>
      <c r="D14" s="27">
        <f>147183.77</f>
        <v>147183.77</v>
      </c>
      <c r="E14" s="27">
        <f>40000</f>
        <v>40000</v>
      </c>
      <c r="F14" s="16">
        <f t="shared" si="1"/>
        <v>0.111806575965259</v>
      </c>
      <c r="G14" s="16">
        <f t="shared" si="2"/>
        <v>0.2717690951930366</v>
      </c>
      <c r="H14" s="29">
        <f>40000</f>
        <v>40000</v>
      </c>
      <c r="I14" s="16">
        <f t="shared" si="3"/>
        <v>0.111806575965259</v>
      </c>
      <c r="J14" s="16">
        <f t="shared" si="4"/>
        <v>0.2717690951930366</v>
      </c>
      <c r="K14" s="29">
        <f>40000</f>
        <v>40000</v>
      </c>
      <c r="L14" s="16">
        <f t="shared" si="0"/>
        <v>0.111806575965259</v>
      </c>
      <c r="M14" s="16">
        <f t="shared" si="5"/>
        <v>0.2717690951930366</v>
      </c>
    </row>
    <row r="15" spans="1:13" ht="185.25" customHeight="1">
      <c r="A15" s="18" t="s">
        <v>59</v>
      </c>
      <c r="B15" s="17" t="s">
        <v>60</v>
      </c>
      <c r="C15" s="27">
        <f>0</f>
        <v>0</v>
      </c>
      <c r="D15" s="27">
        <f>3705</f>
        <v>3705</v>
      </c>
      <c r="E15" s="27">
        <f>0</f>
        <v>0</v>
      </c>
      <c r="F15" s="16">
        <f>0</f>
        <v>0</v>
      </c>
      <c r="G15" s="16">
        <f t="shared" si="2"/>
        <v>0</v>
      </c>
      <c r="H15" s="29">
        <f>0</f>
        <v>0</v>
      </c>
      <c r="I15" s="16">
        <f>0</f>
        <v>0</v>
      </c>
      <c r="J15" s="16">
        <f t="shared" si="4"/>
        <v>0</v>
      </c>
      <c r="K15" s="29">
        <f>0</f>
        <v>0</v>
      </c>
      <c r="L15" s="16">
        <f>0</f>
        <v>0</v>
      </c>
      <c r="M15" s="16">
        <f t="shared" si="5"/>
        <v>0</v>
      </c>
    </row>
    <row r="16" spans="1:13" ht="49.5">
      <c r="A16" s="18" t="s">
        <v>37</v>
      </c>
      <c r="B16" s="17" t="s">
        <v>36</v>
      </c>
      <c r="C16" s="27">
        <f>24005.87</f>
        <v>24005.87</v>
      </c>
      <c r="D16" s="27">
        <f>0</f>
        <v>0</v>
      </c>
      <c r="E16" s="27">
        <f>0</f>
        <v>0</v>
      </c>
      <c r="F16" s="16">
        <f t="shared" si="1"/>
        <v>0</v>
      </c>
      <c r="G16" s="16">
        <f>0</f>
        <v>0</v>
      </c>
      <c r="H16" s="29">
        <f>0</f>
        <v>0</v>
      </c>
      <c r="I16" s="16">
        <f t="shared" si="3"/>
        <v>0</v>
      </c>
      <c r="J16" s="16">
        <f>0</f>
        <v>0</v>
      </c>
      <c r="K16" s="29">
        <f>0</f>
        <v>0</v>
      </c>
      <c r="L16" s="16">
        <f t="shared" si="0"/>
        <v>0</v>
      </c>
      <c r="M16" s="16">
        <f>0</f>
        <v>0</v>
      </c>
    </row>
    <row r="17" spans="1:13" ht="16.5">
      <c r="A17" s="18" t="s">
        <v>39</v>
      </c>
      <c r="B17" s="17" t="s">
        <v>38</v>
      </c>
      <c r="C17" s="27">
        <f>10416.36</f>
        <v>10416.36</v>
      </c>
      <c r="D17" s="27">
        <f>0</f>
        <v>0</v>
      </c>
      <c r="E17" s="27">
        <f>0</f>
        <v>0</v>
      </c>
      <c r="F17" s="16">
        <f t="shared" si="1"/>
        <v>0</v>
      </c>
      <c r="G17" s="16">
        <f>0</f>
        <v>0</v>
      </c>
      <c r="H17" s="29">
        <f>0</f>
        <v>0</v>
      </c>
      <c r="I17" s="16">
        <f t="shared" si="3"/>
        <v>0</v>
      </c>
      <c r="J17" s="16">
        <f>0</f>
        <v>0</v>
      </c>
      <c r="K17" s="29">
        <f>0</f>
        <v>0</v>
      </c>
      <c r="L17" s="16">
        <f t="shared" si="0"/>
        <v>0</v>
      </c>
      <c r="M17" s="16">
        <f>0</f>
        <v>0</v>
      </c>
    </row>
    <row r="18" spans="1:13" ht="33">
      <c r="A18" s="11" t="s">
        <v>7</v>
      </c>
      <c r="B18" s="12" t="s">
        <v>12</v>
      </c>
      <c r="C18" s="26">
        <f>SUM(C19:C24)</f>
        <v>48609719.1</v>
      </c>
      <c r="D18" s="26">
        <f>SUM(D19:D24)</f>
        <v>146840284.53</v>
      </c>
      <c r="E18" s="26">
        <f>SUM(E19:E24)</f>
        <v>42346866.36</v>
      </c>
      <c r="F18" s="13">
        <f t="shared" si="1"/>
        <v>0.8711604828014733</v>
      </c>
      <c r="G18" s="13">
        <f t="shared" si="2"/>
        <v>0.2883872535084089</v>
      </c>
      <c r="H18" s="28">
        <f>SUM(H19:H24)</f>
        <v>22057985.62</v>
      </c>
      <c r="I18" s="13">
        <f t="shared" si="3"/>
        <v>0.45377726982174643</v>
      </c>
      <c r="J18" s="13">
        <f t="shared" si="4"/>
        <v>0.1502175352669892</v>
      </c>
      <c r="K18" s="28">
        <f>SUM(K19:K24)</f>
        <v>18572900</v>
      </c>
      <c r="L18" s="13">
        <f t="shared" si="0"/>
        <v>0.382082026884208</v>
      </c>
      <c r="M18" s="13">
        <f t="shared" si="5"/>
        <v>0.12648368299916696</v>
      </c>
    </row>
    <row r="19" spans="1:13" ht="35.25" customHeight="1">
      <c r="A19" s="19" t="s">
        <v>8</v>
      </c>
      <c r="B19" s="20" t="s">
        <v>54</v>
      </c>
      <c r="C19" s="27">
        <f>23704700</f>
        <v>23704700</v>
      </c>
      <c r="D19" s="27">
        <f>23834410</f>
        <v>23834410</v>
      </c>
      <c r="E19" s="27">
        <f>24424550</f>
        <v>24424550</v>
      </c>
      <c r="F19" s="16">
        <f t="shared" si="1"/>
        <v>1.030367395495408</v>
      </c>
      <c r="G19" s="16">
        <f t="shared" si="2"/>
        <v>1.0247600003524315</v>
      </c>
      <c r="H19" s="29">
        <f>18572900</f>
        <v>18572900</v>
      </c>
      <c r="I19" s="16">
        <f t="shared" si="3"/>
        <v>0.7835112867912271</v>
      </c>
      <c r="J19" s="16">
        <f t="shared" si="4"/>
        <v>0.779247315121289</v>
      </c>
      <c r="K19" s="29">
        <f>18572900</f>
        <v>18572900</v>
      </c>
      <c r="L19" s="16">
        <f t="shared" si="0"/>
        <v>0.7835112867912271</v>
      </c>
      <c r="M19" s="16">
        <f t="shared" si="5"/>
        <v>0.779247315121289</v>
      </c>
    </row>
    <row r="20" spans="1:13" ht="52.5" customHeight="1">
      <c r="A20" s="19" t="s">
        <v>9</v>
      </c>
      <c r="B20" s="17" t="s">
        <v>55</v>
      </c>
      <c r="C20" s="27">
        <f>20914839.63</f>
        <v>20914839.63</v>
      </c>
      <c r="D20" s="27">
        <f>49450715.15</f>
        <v>49450715.15</v>
      </c>
      <c r="E20" s="27">
        <f>17922316.36</f>
        <v>17922316.36</v>
      </c>
      <c r="F20" s="16">
        <f t="shared" si="1"/>
        <v>0.8569186604850864</v>
      </c>
      <c r="G20" s="16">
        <f t="shared" si="2"/>
        <v>0.362427849741623</v>
      </c>
      <c r="H20" s="29">
        <f>3485085.62</f>
        <v>3485085.62</v>
      </c>
      <c r="I20" s="16">
        <f t="shared" si="3"/>
        <v>0.16663219425316722</v>
      </c>
      <c r="J20" s="16">
        <f t="shared" si="4"/>
        <v>0.07047593971954924</v>
      </c>
      <c r="K20" s="29">
        <f>0</f>
        <v>0</v>
      </c>
      <c r="L20" s="16">
        <f t="shared" si="0"/>
        <v>0</v>
      </c>
      <c r="M20" s="16">
        <f t="shared" si="5"/>
        <v>0</v>
      </c>
    </row>
    <row r="21" spans="1:13" ht="33">
      <c r="A21" s="19" t="s">
        <v>10</v>
      </c>
      <c r="B21" s="17" t="s">
        <v>56</v>
      </c>
      <c r="C21" s="27">
        <f>3072</f>
        <v>3072</v>
      </c>
      <c r="D21" s="27">
        <f>13783.78</f>
        <v>13783.78</v>
      </c>
      <c r="E21" s="27">
        <f>0</f>
        <v>0</v>
      </c>
      <c r="F21" s="16">
        <f t="shared" si="1"/>
        <v>0</v>
      </c>
      <c r="G21" s="16">
        <f t="shared" si="2"/>
        <v>0</v>
      </c>
      <c r="H21" s="29">
        <f>0</f>
        <v>0</v>
      </c>
      <c r="I21" s="16">
        <f t="shared" si="3"/>
        <v>0</v>
      </c>
      <c r="J21" s="16">
        <f t="shared" si="4"/>
        <v>0</v>
      </c>
      <c r="K21" s="29">
        <f>0</f>
        <v>0</v>
      </c>
      <c r="L21" s="16">
        <f t="shared" si="0"/>
        <v>0</v>
      </c>
      <c r="M21" s="16">
        <f t="shared" si="5"/>
        <v>0</v>
      </c>
    </row>
    <row r="22" spans="1:13" ht="16.5">
      <c r="A22" s="21" t="s">
        <v>11</v>
      </c>
      <c r="B22" s="17" t="s">
        <v>57</v>
      </c>
      <c r="C22" s="27">
        <f>4150000</f>
        <v>4150000</v>
      </c>
      <c r="D22" s="27">
        <f>73481375.6</f>
        <v>73481375.6</v>
      </c>
      <c r="E22" s="27">
        <f>0</f>
        <v>0</v>
      </c>
      <c r="F22" s="16">
        <f t="shared" si="1"/>
        <v>0</v>
      </c>
      <c r="G22" s="16">
        <f t="shared" si="2"/>
        <v>0</v>
      </c>
      <c r="H22" s="29">
        <f>0</f>
        <v>0</v>
      </c>
      <c r="I22" s="16">
        <f t="shared" si="3"/>
        <v>0</v>
      </c>
      <c r="J22" s="16">
        <f t="shared" si="4"/>
        <v>0</v>
      </c>
      <c r="K22" s="29">
        <f>0</f>
        <v>0</v>
      </c>
      <c r="L22" s="16">
        <f t="shared" si="0"/>
        <v>0</v>
      </c>
      <c r="M22" s="16">
        <f t="shared" si="5"/>
        <v>0</v>
      </c>
    </row>
    <row r="23" spans="1:13" ht="50.25" customHeight="1">
      <c r="A23" s="21" t="s">
        <v>43</v>
      </c>
      <c r="B23" s="17" t="s">
        <v>44</v>
      </c>
      <c r="C23" s="27">
        <f>18279.95</f>
        <v>18279.95</v>
      </c>
      <c r="D23" s="27">
        <f>60000</f>
        <v>60000</v>
      </c>
      <c r="E23" s="27">
        <f>0</f>
        <v>0</v>
      </c>
      <c r="F23" s="16">
        <f t="shared" si="1"/>
        <v>0</v>
      </c>
      <c r="G23" s="16">
        <f t="shared" si="2"/>
        <v>0</v>
      </c>
      <c r="H23" s="29">
        <f>0</f>
        <v>0</v>
      </c>
      <c r="I23" s="16">
        <f t="shared" si="3"/>
        <v>0</v>
      </c>
      <c r="J23" s="16">
        <f t="shared" si="4"/>
        <v>0</v>
      </c>
      <c r="K23" s="29">
        <f>0</f>
        <v>0</v>
      </c>
      <c r="L23" s="16">
        <f t="shared" si="0"/>
        <v>0</v>
      </c>
      <c r="M23" s="16">
        <f t="shared" si="5"/>
        <v>0</v>
      </c>
    </row>
    <row r="24" spans="1:13" ht="84.75" customHeight="1">
      <c r="A24" s="19" t="s">
        <v>42</v>
      </c>
      <c r="B24" s="22" t="s">
        <v>58</v>
      </c>
      <c r="C24" s="27">
        <f>-181172.48</f>
        <v>-181172.48</v>
      </c>
      <c r="D24" s="27">
        <f>0</f>
        <v>0</v>
      </c>
      <c r="E24" s="27">
        <f>0</f>
        <v>0</v>
      </c>
      <c r="F24" s="16">
        <f t="shared" si="1"/>
        <v>0</v>
      </c>
      <c r="G24" s="16">
        <f>0</f>
        <v>0</v>
      </c>
      <c r="H24" s="29">
        <f>0</f>
        <v>0</v>
      </c>
      <c r="I24" s="16">
        <f t="shared" si="3"/>
        <v>0</v>
      </c>
      <c r="J24" s="16">
        <f>0</f>
        <v>0</v>
      </c>
      <c r="K24" s="29">
        <f>0</f>
        <v>0</v>
      </c>
      <c r="L24" s="16">
        <f t="shared" si="0"/>
        <v>0</v>
      </c>
      <c r="M24" s="16">
        <f>0</f>
        <v>0</v>
      </c>
    </row>
    <row r="25" spans="1:13" ht="16.5">
      <c r="A25" s="31" t="s">
        <v>13</v>
      </c>
      <c r="B25" s="31"/>
      <c r="C25" s="26">
        <f>C5+C18</f>
        <v>96372331.60999998</v>
      </c>
      <c r="D25" s="26">
        <f>D5+D18</f>
        <v>194713062.78</v>
      </c>
      <c r="E25" s="26">
        <f>E5+E18</f>
        <v>90143527.18</v>
      </c>
      <c r="F25" s="13">
        <f t="shared" si="1"/>
        <v>0.9353672955095998</v>
      </c>
      <c r="G25" s="13">
        <f t="shared" si="2"/>
        <v>0.46295572517315015</v>
      </c>
      <c r="H25" s="28">
        <f>H5+H18</f>
        <v>69155146.44</v>
      </c>
      <c r="I25" s="13">
        <f t="shared" si="3"/>
        <v>0.7175829959148169</v>
      </c>
      <c r="J25" s="13">
        <f t="shared" si="4"/>
        <v>0.35516439140057166</v>
      </c>
      <c r="K25" s="28">
        <f>K5+K18</f>
        <v>65670060.82</v>
      </c>
      <c r="L25" s="13">
        <f>K25/C25</f>
        <v>0.6814202761613564</v>
      </c>
      <c r="M25" s="13">
        <f t="shared" si="5"/>
        <v>0.33726582018895407</v>
      </c>
    </row>
    <row r="26" spans="1:13" ht="12.75">
      <c r="A26" s="23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3"/>
      <c r="M26" s="23"/>
    </row>
  </sheetData>
  <sheetProtection/>
  <mergeCells count="2">
    <mergeCell ref="A1:M1"/>
    <mergeCell ref="A25:B25"/>
  </mergeCells>
  <printOptions/>
  <pageMargins left="0.7480314960629921" right="0.1968503937007874" top="0.3937007874015748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Жирякова</cp:lastModifiedBy>
  <cp:lastPrinted>2019-11-13T07:59:12Z</cp:lastPrinted>
  <dcterms:created xsi:type="dcterms:W3CDTF">2014-03-24T07:39:29Z</dcterms:created>
  <dcterms:modified xsi:type="dcterms:W3CDTF">2020-11-12T13:19:58Z</dcterms:modified>
  <cp:category/>
  <cp:version/>
  <cp:contentType/>
  <cp:contentStatus/>
</cp:coreProperties>
</file>