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<sst xmlns="http://schemas.openxmlformats.org/spreadsheetml/2006/main" count="89" uniqueCount="88">
  <si>
    <t>0100</t>
  </si>
  <si>
    <t>0102</t>
  </si>
  <si>
    <t>0103</t>
  </si>
  <si>
    <t>0105</t>
  </si>
  <si>
    <t>0107</t>
  </si>
  <si>
    <t>0111</t>
  </si>
  <si>
    <t>0113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</si>
  <si>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</si>
  <si>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</si>
  <si>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</si>
  <si>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</si>
  <si>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</si>
  <si>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</si>
  <si>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</si>
  <si>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</si>
  <si>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</si>
  <si>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0503</t>
  </si>
  <si>
    <t>0505</t>
  </si>
  <si>
    <t>0700</t>
  </si>
  <si>
    <t>0707</t>
  </si>
  <si>
    <t>0800</t>
  </si>
  <si>
    <t>0801</t>
  </si>
  <si>
    <t>1000</t>
  </si>
  <si>
    <t>1001</t>
  </si>
  <si>
    <t>1003</t>
  </si>
  <si>
    <t>1100</t>
  </si>
  <si>
    <t>1102</t>
  </si>
  <si>
    <t>1300</t>
  </si>
  <si>
    <t>1301</t>
  </si>
  <si>
    <t>Раздел, подраздел</t>
  </si>
  <si>
    <t>0501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</si>
  <si>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</si>
  <si>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</si>
  <si>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</si>
  <si>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</si>
  <si>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</si>
  <si>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</si>
  <si>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</si>
  <si>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</si>
  <si>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</si>
  <si>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</si>
  <si>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</si>
  <si>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</si>
  <si>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</si>
  <si>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</si>
  <si>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</si>
  <si>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</si>
  <si>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</si>
  <si>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</si>
  <si>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</si>
  <si>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</si>
  <si>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</si>
  <si>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</si>
  <si>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</si>
  <si>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</si>
  <si>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</si>
  <si>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</si>
  <si>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</si>
  <si>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</si>
  <si>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</si>
  <si>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</si>
  <si>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</si>
  <si>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</si>
  <si>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</si>
  <si>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</si>
  <si>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</si>
  <si>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ИТОГО:</t>
  </si>
  <si>
    <t>(руб.)</t>
  </si>
  <si>
    <t>0314</t>
  </si>
  <si>
    <t>Другие вопросы в области национальной безопасности и правоохранительной деятельности</t>
  </si>
  <si>
    <t>Сведения о расходах бюджета Южского городского поселения по разделам и подразделам классификации расходов бюджетов на 2021 год и на плановый период 2022 и 2023 годов в сравнении с исполнением за 2019 год и ожидаемым исполнением за 2020 год</t>
  </si>
  <si>
    <t>Исполнено за 2019 год</t>
  </si>
  <si>
    <t>Ожидаемое исполнение за 2020 год</t>
  </si>
  <si>
    <t>Проект на 2021 год</t>
  </si>
  <si>
    <t>2021 год к исполнению за 2019 год</t>
  </si>
  <si>
    <t>2022 год к ожидаемому исполнению за 2020 год</t>
  </si>
  <si>
    <t xml:space="preserve">Проект на 2022 год </t>
  </si>
  <si>
    <t>2022 год к исполнению за 2019 год</t>
  </si>
  <si>
    <t>Проект на 2023 год</t>
  </si>
  <si>
    <t>2023 год к исполнению за 2019 год</t>
  </si>
  <si>
    <t>2023 год к ожидаемому исполнению за 2020 год</t>
  </si>
  <si>
    <t>* с 2020 года коды разделов и подразделов классификации расходов бюджетов изменены в соответствии с Приказом Минфина России от 08.06.2020 № 98н "О внесении изменений в приказ Министерства финансов Российской Федерации от 6 июня 2019 г. № 85н "О Порядке формирования и применения кодов бюджетной классификации Российской Федерации, их структуре и принципах назначения""</t>
  </si>
  <si>
    <r>
      <t>Защита населения и территории от чрезвычайных ситуаций природного и техногенного характера, гражданская оборона / Гражданская оборона</t>
    </r>
    <r>
      <rPr>
        <b/>
        <sz val="10"/>
        <color indexed="8"/>
        <rFont val="Times New Roman"/>
        <family val="1"/>
      </rPr>
      <t>*</t>
    </r>
  </si>
  <si>
    <r>
      <t>Обеспечение пожарной безопасности / Защита населения и территории от чрезвычайных ситуаций природного и техногенного характера, пожарная безопасность</t>
    </r>
    <r>
      <rPr>
        <b/>
        <sz val="10"/>
        <color indexed="8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
</t>
    </r>
  </si>
  <si>
    <t>Водное хозяйство</t>
  </si>
  <si>
    <t>0406</t>
  </si>
  <si>
    <t>0705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</si>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</sst>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65" fontId="46" fillId="0" borderId="2" xfId="83" applyNumberFormat="1" applyFont="1" applyFill="1" applyBorder="1" applyAlignment="1" applyProtection="1">
      <alignment horizontal="center" vertical="top" shrinkToFit="1"/>
      <protection/>
    </xf>
    <xf numFmtId="165" fontId="47" fillId="0" borderId="2" xfId="83" applyNumberFormat="1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 applyProtection="1">
      <alignment/>
      <protection locked="0"/>
    </xf>
    <xf numFmtId="0" fontId="29" fillId="0" borderId="0" xfId="39" applyFill="1">
      <alignment horizontal="center"/>
      <protection/>
    </xf>
    <xf numFmtId="0" fontId="28" fillId="0" borderId="0" xfId="40" applyNumberFormat="1" applyFill="1" applyAlignment="1" applyProtection="1">
      <alignment vertical="top"/>
      <protection/>
    </xf>
    <xf numFmtId="0" fontId="28" fillId="0" borderId="0" xfId="40" applyFill="1" applyAlignment="1">
      <alignment/>
      <protection/>
    </xf>
    <xf numFmtId="0" fontId="46" fillId="0" borderId="0" xfId="40" applyFont="1" applyFill="1" applyAlignment="1">
      <alignment horizontal="right"/>
      <protection/>
    </xf>
    <xf numFmtId="0" fontId="47" fillId="0" borderId="2" xfId="42" applyNumberFormat="1" applyFont="1" applyFill="1" applyAlignment="1" applyProtection="1">
      <alignment horizontal="center" vertical="center" wrapText="1"/>
      <protection/>
    </xf>
    <xf numFmtId="0" fontId="47" fillId="0" borderId="2" xfId="42" applyNumberFormat="1" applyFont="1" applyFill="1" applyProtection="1">
      <alignment horizontal="center" vertical="center" wrapText="1"/>
      <protection/>
    </xf>
    <xf numFmtId="0" fontId="46" fillId="0" borderId="2" xfId="42" applyNumberFormat="1" applyFont="1" applyFill="1" applyAlignment="1" applyProtection="1">
      <alignment horizontal="center" vertical="top" wrapText="1"/>
      <protection/>
    </xf>
    <xf numFmtId="0" fontId="46" fillId="0" borderId="2" xfId="42" applyNumberFormat="1" applyFont="1" applyFill="1" applyProtection="1">
      <alignment horizontal="center" vertical="center" wrapText="1"/>
      <protection/>
    </xf>
    <xf numFmtId="0" fontId="47" fillId="0" borderId="2" xfId="50" applyNumberFormat="1" applyFont="1" applyFill="1" applyAlignment="1" applyProtection="1">
      <alignment vertical="top" wrapText="1"/>
      <protection/>
    </xf>
    <xf numFmtId="0" fontId="47" fillId="0" borderId="2" xfId="50" applyNumberFormat="1" applyFont="1" applyFill="1" applyAlignment="1" applyProtection="1">
      <alignment horizontal="center" vertical="top" wrapText="1"/>
      <protection/>
    </xf>
    <xf numFmtId="0" fontId="24" fillId="0" borderId="0" xfId="0" applyFont="1" applyFill="1" applyAlignment="1" applyProtection="1">
      <alignment/>
      <protection locked="0"/>
    </xf>
    <xf numFmtId="0" fontId="46" fillId="0" borderId="2" xfId="50" applyNumberFormat="1" applyFont="1" applyFill="1" applyAlignment="1" applyProtection="1">
      <alignment vertical="top" wrapText="1"/>
      <protection/>
    </xf>
    <xf numFmtId="0" fontId="46" fillId="0" borderId="2" xfId="50" applyNumberFormat="1" applyFont="1" applyFill="1" applyAlignment="1" applyProtection="1">
      <alignment horizontal="center" vertical="top" wrapText="1"/>
      <protection/>
    </xf>
    <xf numFmtId="49" fontId="46" fillId="0" borderId="2" xfId="50" applyNumberFormat="1" applyFont="1" applyFill="1" applyAlignment="1" applyProtection="1">
      <alignment horizontal="center" vertical="top" wrapText="1"/>
      <protection/>
    </xf>
    <xf numFmtId="0" fontId="28" fillId="0" borderId="0" xfId="49" applyFill="1">
      <alignment horizontal="left" wrapText="1"/>
      <protection/>
    </xf>
    <xf numFmtId="0" fontId="0" fillId="0" borderId="0" xfId="0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47" fillId="0" borderId="2" xfId="52" applyNumberFormat="1" applyFont="1" applyFill="1" applyAlignment="1" applyProtection="1">
      <alignment horizontal="right" vertical="top" shrinkToFit="1"/>
      <protection/>
    </xf>
    <xf numFmtId="4" fontId="46" fillId="0" borderId="2" xfId="52" applyNumberFormat="1" applyFont="1" applyFill="1" applyAlignment="1" applyProtection="1">
      <alignment horizontal="right" vertical="top" shrinkToFit="1"/>
      <protection/>
    </xf>
    <xf numFmtId="4" fontId="2" fillId="0" borderId="2" xfId="52" applyNumberFormat="1" applyFont="1" applyFill="1" applyAlignment="1" applyProtection="1">
      <alignment horizontal="right" vertical="top" shrinkToFit="1"/>
      <protection/>
    </xf>
    <xf numFmtId="4" fontId="46" fillId="0" borderId="2" xfId="51" applyNumberFormat="1" applyFont="1" applyFill="1" applyAlignment="1" applyProtection="1">
      <alignment horizontal="right" vertical="top" shrinkToFit="1"/>
      <protection/>
    </xf>
    <xf numFmtId="4" fontId="47" fillId="0" borderId="14" xfId="46" applyNumberFormat="1" applyFont="1" applyFill="1" applyBorder="1" applyAlignment="1" applyProtection="1">
      <alignment horizontal="right" vertical="top" shrinkToFit="1"/>
      <protection/>
    </xf>
    <xf numFmtId="0" fontId="29" fillId="0" borderId="0" xfId="39" applyNumberFormat="1" applyFill="1" applyProtection="1">
      <alignment horizontal="center"/>
      <protection/>
    </xf>
    <xf numFmtId="0" fontId="29" fillId="0" borderId="0" xfId="39" applyFill="1">
      <alignment horizontal="center"/>
      <protection/>
    </xf>
    <xf numFmtId="0" fontId="47" fillId="0" borderId="14" xfId="45" applyNumberFormat="1" applyFont="1" applyFill="1" applyBorder="1" applyProtection="1">
      <alignment horizontal="right"/>
      <protection/>
    </xf>
    <xf numFmtId="0" fontId="28" fillId="0" borderId="0" xfId="49" applyNumberFormat="1" applyFill="1" applyProtection="1">
      <alignment horizontal="left" wrapText="1"/>
      <protection/>
    </xf>
    <xf numFmtId="0" fontId="28" fillId="0" borderId="0" xfId="49" applyFill="1">
      <alignment horizontal="left" wrapText="1"/>
      <protection/>
    </xf>
    <xf numFmtId="0" fontId="48" fillId="0" borderId="0" xfId="39" applyNumberFormat="1" applyFont="1" applyFill="1" applyAlignment="1" applyProtection="1">
      <alignment horizontal="center" vertical="top" wrapText="1"/>
      <protection/>
    </xf>
    <xf numFmtId="2" fontId="2" fillId="0" borderId="0" xfId="0" applyNumberFormat="1" applyFont="1" applyFill="1" applyAlignment="1" applyProtection="1">
      <alignment horizontal="justify" vertical="top" wrapText="1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140625" defaultRowHeight="15" outlineLevelRow="1"/>
  <cols>
    <col min="1" max="1" width="50.00390625" style="19" customWidth="1"/>
    <col min="2" max="2" width="9.140625" style="19" customWidth="1"/>
    <col min="3" max="3" width="15.8515625" style="3" customWidth="1"/>
    <col min="4" max="4" width="16.57421875" style="3" customWidth="1"/>
    <col min="5" max="6" width="13.7109375" style="3" customWidth="1"/>
    <col min="7" max="7" width="15.00390625" style="3" customWidth="1"/>
    <col min="8" max="13" width="13.140625" style="3" customWidth="1"/>
    <col min="14" max="16384" width="9.140625" style="3" customWidth="1"/>
  </cols>
  <sheetData>
    <row r="1" spans="1:13" ht="33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7.5" customHeight="1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4"/>
      <c r="M2" s="4"/>
    </row>
    <row r="3" spans="1:13" ht="12" customHeight="1">
      <c r="A3" s="5"/>
      <c r="B3" s="5"/>
      <c r="C3" s="6"/>
      <c r="D3" s="6"/>
      <c r="E3" s="6"/>
      <c r="F3" s="6"/>
      <c r="G3" s="6"/>
      <c r="H3" s="6"/>
      <c r="I3" s="6"/>
      <c r="J3" s="6"/>
      <c r="L3" s="6"/>
      <c r="M3" s="7" t="s">
        <v>67</v>
      </c>
    </row>
    <row r="4" spans="1:13" ht="53.25" customHeight="1">
      <c r="A4" s="8" t="s">
        <v>58</v>
      </c>
      <c r="B4" s="8" t="s">
        <v>29</v>
      </c>
      <c r="C4" s="9" t="s">
        <v>71</v>
      </c>
      <c r="D4" s="9" t="s">
        <v>72</v>
      </c>
      <c r="E4" s="9" t="s">
        <v>73</v>
      </c>
      <c r="F4" s="9" t="s">
        <v>74</v>
      </c>
      <c r="G4" s="9" t="s">
        <v>75</v>
      </c>
      <c r="H4" s="9" t="s">
        <v>76</v>
      </c>
      <c r="I4" s="9" t="s">
        <v>77</v>
      </c>
      <c r="J4" s="9" t="s">
        <v>75</v>
      </c>
      <c r="K4" s="9" t="s">
        <v>78</v>
      </c>
      <c r="L4" s="9" t="s">
        <v>79</v>
      </c>
      <c r="M4" s="9" t="s">
        <v>80</v>
      </c>
    </row>
    <row r="5" spans="1:13" ht="14.25" customHeight="1">
      <c r="A5" s="10">
        <v>1</v>
      </c>
      <c r="B5" s="10">
        <v>2</v>
      </c>
      <c r="C5" s="11">
        <v>3</v>
      </c>
      <c r="D5" s="11">
        <v>4</v>
      </c>
      <c r="E5" s="11">
        <v>5</v>
      </c>
      <c r="F5" s="11" t="s">
        <v>52</v>
      </c>
      <c r="G5" s="11" t="s">
        <v>53</v>
      </c>
      <c r="H5" s="11">
        <v>8</v>
      </c>
      <c r="I5" s="11" t="s">
        <v>54</v>
      </c>
      <c r="J5" s="11" t="s">
        <v>55</v>
      </c>
      <c r="K5" s="11">
        <v>11</v>
      </c>
      <c r="L5" s="11" t="s">
        <v>56</v>
      </c>
      <c r="M5" s="11" t="s">
        <v>57</v>
      </c>
    </row>
    <row r="6" spans="1:13" s="14" customFormat="1" ht="15">
      <c r="A6" s="12" t="s">
        <v>60</v>
      </c>
      <c r="B6" s="13" t="s">
        <v>0</v>
      </c>
      <c r="C6" s="22">
        <f>SUM(C7:C12)</f>
        <v>6259726.83</v>
      </c>
      <c r="D6" s="22">
        <f>SUM(D7:D12)</f>
        <v>7748702.27</v>
      </c>
      <c r="E6" s="22">
        <f>SUM(E7:E12)</f>
        <v>8973850.76</v>
      </c>
      <c r="F6" s="2">
        <f>E6/C6</f>
        <v>1.4335850435185842</v>
      </c>
      <c r="G6" s="2">
        <f>E6/D6</f>
        <v>1.1581101515208947</v>
      </c>
      <c r="H6" s="22">
        <f>SUM(H7:H12)</f>
        <v>6894327.05</v>
      </c>
      <c r="I6" s="2">
        <f>H6/C6</f>
        <v>1.1013782609424188</v>
      </c>
      <c r="J6" s="2">
        <f>H6/D6</f>
        <v>0.889739573127256</v>
      </c>
      <c r="K6" s="22">
        <f>SUM(K7:K12)</f>
        <v>6894327.05</v>
      </c>
      <c r="L6" s="2">
        <f>K6/C6</f>
        <v>1.1013782609424188</v>
      </c>
      <c r="M6" s="2">
        <f>K6/D6</f>
        <v>0.889739573127256</v>
      </c>
    </row>
    <row r="7" spans="1:13" ht="25.5" outlineLevel="1">
      <c r="A7" s="15" t="s">
        <v>59</v>
      </c>
      <c r="B7" s="16" t="s">
        <v>1</v>
      </c>
      <c r="C7" s="23">
        <f>706494.33</f>
        <v>706494.33</v>
      </c>
      <c r="D7" s="23">
        <f>739569.82</f>
        <v>739569.82</v>
      </c>
      <c r="E7" s="23">
        <f>762667.02</f>
        <v>762667.02</v>
      </c>
      <c r="F7" s="1">
        <f aca="true" t="shared" si="0" ref="F7:F38">E7/C7</f>
        <v>1.0795090457413863</v>
      </c>
      <c r="G7" s="1">
        <f aca="true" t="shared" si="1" ref="G7:G39">E7/D7</f>
        <v>1.0312305875326282</v>
      </c>
      <c r="H7" s="23">
        <f>731884.6</f>
        <v>731884.6</v>
      </c>
      <c r="I7" s="1">
        <f aca="true" t="shared" si="2" ref="I7:I38">H7/C7</f>
        <v>1.0359383917490181</v>
      </c>
      <c r="J7" s="1">
        <f aca="true" t="shared" si="3" ref="J7:J38">H7/D7</f>
        <v>0.9896085267514027</v>
      </c>
      <c r="K7" s="23">
        <f>731884.6</f>
        <v>731884.6</v>
      </c>
      <c r="L7" s="1">
        <f aca="true" t="shared" si="4" ref="L7:L38">K7/C7</f>
        <v>1.0359383917490181</v>
      </c>
      <c r="M7" s="1">
        <f aca="true" t="shared" si="5" ref="M7:M38">K7/D7</f>
        <v>0.9896085267514027</v>
      </c>
    </row>
    <row r="8" spans="1:13" ht="38.25" outlineLevel="1">
      <c r="A8" s="15" t="s">
        <v>61</v>
      </c>
      <c r="B8" s="16" t="s">
        <v>2</v>
      </c>
      <c r="C8" s="23">
        <f>1668809.35</f>
        <v>1668809.35</v>
      </c>
      <c r="D8" s="23">
        <f>1667948.27</f>
        <v>1667948.27</v>
      </c>
      <c r="E8" s="23">
        <f>1707972.32</f>
        <v>1707972.32</v>
      </c>
      <c r="F8" s="1">
        <f t="shared" si="0"/>
        <v>1.0234676118035893</v>
      </c>
      <c r="G8" s="1">
        <f t="shared" si="1"/>
        <v>1.0239959780047616</v>
      </c>
      <c r="H8" s="23">
        <f>1656549.85</f>
        <v>1656549.85</v>
      </c>
      <c r="I8" s="1">
        <f t="shared" si="2"/>
        <v>0.9926537444196367</v>
      </c>
      <c r="J8" s="1">
        <f t="shared" si="3"/>
        <v>0.9931662029302624</v>
      </c>
      <c r="K8" s="23">
        <f>1656549.85</f>
        <v>1656549.85</v>
      </c>
      <c r="L8" s="1">
        <f t="shared" si="4"/>
        <v>0.9926537444196367</v>
      </c>
      <c r="M8" s="1">
        <f t="shared" si="5"/>
        <v>0.9931662029302624</v>
      </c>
    </row>
    <row r="9" spans="1:13" ht="15" outlineLevel="1">
      <c r="A9" s="15" t="s">
        <v>62</v>
      </c>
      <c r="B9" s="16" t="s">
        <v>3</v>
      </c>
      <c r="C9" s="23">
        <f>3072</f>
        <v>3072</v>
      </c>
      <c r="D9" s="24">
        <f>13783.78</f>
        <v>13783.78</v>
      </c>
      <c r="E9" s="23">
        <f>0</f>
        <v>0</v>
      </c>
      <c r="F9" s="1">
        <f t="shared" si="0"/>
        <v>0</v>
      </c>
      <c r="G9" s="1">
        <f t="shared" si="1"/>
        <v>0</v>
      </c>
      <c r="H9" s="23">
        <f>0</f>
        <v>0</v>
      </c>
      <c r="I9" s="1">
        <f t="shared" si="2"/>
        <v>0</v>
      </c>
      <c r="J9" s="1">
        <f t="shared" si="3"/>
        <v>0</v>
      </c>
      <c r="K9" s="23">
        <f>0</f>
        <v>0</v>
      </c>
      <c r="L9" s="1">
        <f t="shared" si="4"/>
        <v>0</v>
      </c>
      <c r="M9" s="1">
        <f t="shared" si="5"/>
        <v>0</v>
      </c>
    </row>
    <row r="10" spans="1:13" ht="15" outlineLevel="1">
      <c r="A10" s="15" t="s">
        <v>63</v>
      </c>
      <c r="B10" s="16" t="s">
        <v>4</v>
      </c>
      <c r="C10" s="23">
        <f>0</f>
        <v>0</v>
      </c>
      <c r="D10" s="23">
        <f>1250000</f>
        <v>1250000</v>
      </c>
      <c r="E10" s="23">
        <f>0</f>
        <v>0</v>
      </c>
      <c r="F10" s="1">
        <f>0</f>
        <v>0</v>
      </c>
      <c r="G10" s="1">
        <f>0</f>
        <v>0</v>
      </c>
      <c r="H10" s="23">
        <f>0</f>
        <v>0</v>
      </c>
      <c r="I10" s="1">
        <f>0</f>
        <v>0</v>
      </c>
      <c r="J10" s="1">
        <f>0</f>
        <v>0</v>
      </c>
      <c r="K10" s="23">
        <f>0</f>
        <v>0</v>
      </c>
      <c r="L10" s="1">
        <f>0</f>
        <v>0</v>
      </c>
      <c r="M10" s="1">
        <f>0</f>
        <v>0</v>
      </c>
    </row>
    <row r="11" spans="1:13" ht="15" outlineLevel="1">
      <c r="A11" s="15" t="s">
        <v>64</v>
      </c>
      <c r="B11" s="16" t="s">
        <v>5</v>
      </c>
      <c r="C11" s="23">
        <f>0</f>
        <v>0</v>
      </c>
      <c r="D11" s="23">
        <f>0</f>
        <v>0</v>
      </c>
      <c r="E11" s="23">
        <f>300000</f>
        <v>300000</v>
      </c>
      <c r="F11" s="1">
        <f>0</f>
        <v>0</v>
      </c>
      <c r="G11" s="1">
        <f>0</f>
        <v>0</v>
      </c>
      <c r="H11" s="23">
        <f>300000</f>
        <v>300000</v>
      </c>
      <c r="I11" s="1">
        <f>0</f>
        <v>0</v>
      </c>
      <c r="J11" s="1">
        <f>0</f>
        <v>0</v>
      </c>
      <c r="K11" s="23">
        <f>300000</f>
        <v>300000</v>
      </c>
      <c r="L11" s="1">
        <f>0</f>
        <v>0</v>
      </c>
      <c r="M11" s="1">
        <f>0</f>
        <v>0</v>
      </c>
    </row>
    <row r="12" spans="1:13" ht="15" outlineLevel="1">
      <c r="A12" s="15" t="s">
        <v>65</v>
      </c>
      <c r="B12" s="16" t="s">
        <v>6</v>
      </c>
      <c r="C12" s="23">
        <f>3881351.15</f>
        <v>3881351.15</v>
      </c>
      <c r="D12" s="23">
        <f>4077400.4</f>
        <v>4077400.4</v>
      </c>
      <c r="E12" s="23">
        <f>6203211.42</f>
        <v>6203211.42</v>
      </c>
      <c r="F12" s="1">
        <f t="shared" si="0"/>
        <v>1.59820927823034</v>
      </c>
      <c r="G12" s="1">
        <f t="shared" si="1"/>
        <v>1.5213643035891202</v>
      </c>
      <c r="H12" s="23">
        <f>4205892.6</f>
        <v>4205892.6</v>
      </c>
      <c r="I12" s="1">
        <f t="shared" si="2"/>
        <v>1.0836155857735263</v>
      </c>
      <c r="J12" s="1">
        <f t="shared" si="3"/>
        <v>1.0315132651676788</v>
      </c>
      <c r="K12" s="23">
        <f>4205892.6</f>
        <v>4205892.6</v>
      </c>
      <c r="L12" s="1">
        <f t="shared" si="4"/>
        <v>1.0836155857735263</v>
      </c>
      <c r="M12" s="1">
        <f t="shared" si="5"/>
        <v>1.0315132651676788</v>
      </c>
    </row>
    <row r="13" spans="1:13" s="14" customFormat="1" ht="25.5">
      <c r="A13" s="12" t="s">
        <v>31</v>
      </c>
      <c r="B13" s="13" t="s">
        <v>7</v>
      </c>
      <c r="C13" s="22">
        <f>SUM(C14:C16)</f>
        <v>380500</v>
      </c>
      <c r="D13" s="22">
        <f>SUM(D14:D16)</f>
        <v>328750</v>
      </c>
      <c r="E13" s="22">
        <f>SUM(E14:E16)</f>
        <v>373500</v>
      </c>
      <c r="F13" s="2">
        <f t="shared" si="0"/>
        <v>0.9816031537450722</v>
      </c>
      <c r="G13" s="2">
        <f t="shared" si="1"/>
        <v>1.1361216730038022</v>
      </c>
      <c r="H13" s="22">
        <f>SUM(H14:H16)</f>
        <v>373500</v>
      </c>
      <c r="I13" s="2">
        <f t="shared" si="2"/>
        <v>0.9816031537450722</v>
      </c>
      <c r="J13" s="2">
        <f t="shared" si="3"/>
        <v>1.1361216730038022</v>
      </c>
      <c r="K13" s="22">
        <f>SUM(K14:K16)</f>
        <v>373500</v>
      </c>
      <c r="L13" s="2">
        <f t="shared" si="4"/>
        <v>0.9816031537450722</v>
      </c>
      <c r="M13" s="2">
        <f t="shared" si="5"/>
        <v>1.1361216730038022</v>
      </c>
    </row>
    <row r="14" spans="1:13" ht="38.25" customHeight="1" outlineLevel="1">
      <c r="A14" s="15" t="s">
        <v>82</v>
      </c>
      <c r="B14" s="16" t="s">
        <v>8</v>
      </c>
      <c r="C14" s="23">
        <f>12000</f>
        <v>12000</v>
      </c>
      <c r="D14" s="23">
        <f>12000</f>
        <v>12000</v>
      </c>
      <c r="E14" s="23">
        <f>12000</f>
        <v>12000</v>
      </c>
      <c r="F14" s="1">
        <f t="shared" si="0"/>
        <v>1</v>
      </c>
      <c r="G14" s="1">
        <f t="shared" si="1"/>
        <v>1</v>
      </c>
      <c r="H14" s="23">
        <f>12000</f>
        <v>12000</v>
      </c>
      <c r="I14" s="1">
        <f t="shared" si="2"/>
        <v>1</v>
      </c>
      <c r="J14" s="1">
        <f t="shared" si="3"/>
        <v>1</v>
      </c>
      <c r="K14" s="23">
        <f>12000</f>
        <v>12000</v>
      </c>
      <c r="L14" s="1">
        <f t="shared" si="4"/>
        <v>1</v>
      </c>
      <c r="M14" s="1">
        <f t="shared" si="5"/>
        <v>1</v>
      </c>
    </row>
    <row r="15" spans="1:13" ht="41.25" customHeight="1" outlineLevel="1">
      <c r="A15" s="15" t="s">
        <v>83</v>
      </c>
      <c r="B15" s="16" t="s">
        <v>9</v>
      </c>
      <c r="C15" s="23">
        <f>280500</f>
        <v>280500</v>
      </c>
      <c r="D15" s="23">
        <f>166750</f>
        <v>166750</v>
      </c>
      <c r="E15" s="23">
        <f>261500</f>
        <v>261500</v>
      </c>
      <c r="F15" s="1">
        <f t="shared" si="0"/>
        <v>0.9322638146167558</v>
      </c>
      <c r="G15" s="1">
        <f t="shared" si="1"/>
        <v>1.568215892053973</v>
      </c>
      <c r="H15" s="23">
        <f>211500</f>
        <v>211500</v>
      </c>
      <c r="I15" s="1">
        <f t="shared" si="2"/>
        <v>0.7540106951871658</v>
      </c>
      <c r="J15" s="1">
        <f t="shared" si="3"/>
        <v>1.2683658170914542</v>
      </c>
      <c r="K15" s="23">
        <f>211500</f>
        <v>211500</v>
      </c>
      <c r="L15" s="1">
        <f t="shared" si="4"/>
        <v>0.7540106951871658</v>
      </c>
      <c r="M15" s="1">
        <f t="shared" si="5"/>
        <v>1.2683658170914542</v>
      </c>
    </row>
    <row r="16" spans="1:13" ht="25.5" outlineLevel="1">
      <c r="A16" s="15" t="s">
        <v>69</v>
      </c>
      <c r="B16" s="17" t="s">
        <v>68</v>
      </c>
      <c r="C16" s="23">
        <f>88000</f>
        <v>88000</v>
      </c>
      <c r="D16" s="23">
        <f>150000</f>
        <v>150000</v>
      </c>
      <c r="E16" s="23">
        <f>100000</f>
        <v>100000</v>
      </c>
      <c r="F16" s="1">
        <f>0</f>
        <v>0</v>
      </c>
      <c r="G16" s="1">
        <f t="shared" si="1"/>
        <v>0.6666666666666666</v>
      </c>
      <c r="H16" s="23">
        <f>150000</f>
        <v>150000</v>
      </c>
      <c r="I16" s="1">
        <f>0</f>
        <v>0</v>
      </c>
      <c r="J16" s="1">
        <f t="shared" si="3"/>
        <v>1</v>
      </c>
      <c r="K16" s="23">
        <f>150000</f>
        <v>150000</v>
      </c>
      <c r="L16" s="1">
        <f>0</f>
        <v>0</v>
      </c>
      <c r="M16" s="1">
        <f t="shared" si="5"/>
        <v>1</v>
      </c>
    </row>
    <row r="17" spans="1:13" s="14" customFormat="1" ht="15">
      <c r="A17" s="12" t="s">
        <v>32</v>
      </c>
      <c r="B17" s="13" t="s">
        <v>10</v>
      </c>
      <c r="C17" s="22">
        <f>SUM(C18:C21)</f>
        <v>37024565.64</v>
      </c>
      <c r="D17" s="22">
        <f>SUM(D18:D21)</f>
        <v>43982076.95999999</v>
      </c>
      <c r="E17" s="22">
        <f>SUM(E18:E21)</f>
        <v>24280568.053000003</v>
      </c>
      <c r="F17" s="2">
        <f t="shared" si="0"/>
        <v>0.6557961621774748</v>
      </c>
      <c r="G17" s="2">
        <f t="shared" si="1"/>
        <v>0.5520559675952149</v>
      </c>
      <c r="H17" s="22">
        <f>SUM(H18:H21)</f>
        <v>20373307.71</v>
      </c>
      <c r="I17" s="2">
        <f t="shared" si="2"/>
        <v>0.5502645975133174</v>
      </c>
      <c r="J17" s="2">
        <f t="shared" si="3"/>
        <v>0.46321840891071925</v>
      </c>
      <c r="K17" s="22">
        <f>SUM(K18:K21)</f>
        <v>16704796.53</v>
      </c>
      <c r="L17" s="2">
        <f t="shared" si="4"/>
        <v>0.4511814316047706</v>
      </c>
      <c r="M17" s="2">
        <f t="shared" si="5"/>
        <v>0.37980917875234427</v>
      </c>
    </row>
    <row r="18" spans="1:13" s="21" customFormat="1" ht="15">
      <c r="A18" s="15" t="s">
        <v>84</v>
      </c>
      <c r="B18" s="17" t="s">
        <v>85</v>
      </c>
      <c r="C18" s="23">
        <f>0</f>
        <v>0</v>
      </c>
      <c r="D18" s="23">
        <f>100000</f>
        <v>100000</v>
      </c>
      <c r="E18" s="23">
        <f>340000</f>
        <v>340000</v>
      </c>
      <c r="F18" s="1">
        <f>0</f>
        <v>0</v>
      </c>
      <c r="G18" s="1">
        <f t="shared" si="1"/>
        <v>3.4</v>
      </c>
      <c r="H18" s="23">
        <f>0</f>
        <v>0</v>
      </c>
      <c r="I18" s="1">
        <f>0</f>
        <v>0</v>
      </c>
      <c r="J18" s="1">
        <f t="shared" si="3"/>
        <v>0</v>
      </c>
      <c r="K18" s="23">
        <f>0</f>
        <v>0</v>
      </c>
      <c r="L18" s="1">
        <f>0</f>
        <v>0</v>
      </c>
      <c r="M18" s="1">
        <f t="shared" si="5"/>
        <v>0</v>
      </c>
    </row>
    <row r="19" spans="1:13" ht="15" outlineLevel="1">
      <c r="A19" s="15" t="s">
        <v>33</v>
      </c>
      <c r="B19" s="16" t="s">
        <v>11</v>
      </c>
      <c r="C19" s="23">
        <f>1900199.5</f>
        <v>1900199.5</v>
      </c>
      <c r="D19" s="23">
        <f>2982074.55</f>
        <v>2982074.55</v>
      </c>
      <c r="E19" s="23">
        <f>2823999.33</f>
        <v>2823999.33</v>
      </c>
      <c r="F19" s="1">
        <f t="shared" si="0"/>
        <v>1.486159390106144</v>
      </c>
      <c r="G19" s="1">
        <f t="shared" si="1"/>
        <v>0.946991526419083</v>
      </c>
      <c r="H19" s="23">
        <f>2000000</f>
        <v>2000000</v>
      </c>
      <c r="I19" s="1">
        <f t="shared" si="2"/>
        <v>1.0525210642356237</v>
      </c>
      <c r="J19" s="1">
        <f t="shared" si="3"/>
        <v>0.6706740446847649</v>
      </c>
      <c r="K19" s="23">
        <f>2000000</f>
        <v>2000000</v>
      </c>
      <c r="L19" s="1">
        <f t="shared" si="4"/>
        <v>1.0525210642356237</v>
      </c>
      <c r="M19" s="1">
        <f t="shared" si="5"/>
        <v>0.6706740446847649</v>
      </c>
    </row>
    <row r="20" spans="1:13" ht="15" outlineLevel="1">
      <c r="A20" s="15" t="s">
        <v>34</v>
      </c>
      <c r="B20" s="16" t="s">
        <v>12</v>
      </c>
      <c r="C20" s="23">
        <f>32968160.14</f>
        <v>32968160.14</v>
      </c>
      <c r="D20" s="23">
        <f>40872102.41</f>
        <v>40872102.41</v>
      </c>
      <c r="E20" s="23">
        <f>21056568.723</f>
        <v>21056568.723</v>
      </c>
      <c r="F20" s="1">
        <f t="shared" si="0"/>
        <v>0.6386940803970507</v>
      </c>
      <c r="G20" s="1">
        <f t="shared" si="1"/>
        <v>0.5151819329423138</v>
      </c>
      <c r="H20" s="23">
        <f>18313307.71</f>
        <v>18313307.71</v>
      </c>
      <c r="I20" s="1">
        <f t="shared" si="2"/>
        <v>0.5554846746749635</v>
      </c>
      <c r="J20" s="1">
        <f t="shared" si="3"/>
        <v>0.4480637557200719</v>
      </c>
      <c r="K20" s="23">
        <f>14644796.53</f>
        <v>14644796.53</v>
      </c>
      <c r="L20" s="1">
        <f t="shared" si="4"/>
        <v>0.44421030678723217</v>
      </c>
      <c r="M20" s="1">
        <f t="shared" si="5"/>
        <v>0.35830788402059105</v>
      </c>
    </row>
    <row r="21" spans="1:13" ht="15" outlineLevel="1">
      <c r="A21" s="15" t="s">
        <v>35</v>
      </c>
      <c r="B21" s="16" t="s">
        <v>13</v>
      </c>
      <c r="C21" s="23">
        <f>2156206</f>
        <v>2156206</v>
      </c>
      <c r="D21" s="23">
        <f>27900</f>
        <v>27900</v>
      </c>
      <c r="E21" s="23">
        <f>60000</f>
        <v>60000</v>
      </c>
      <c r="F21" s="1">
        <f t="shared" si="0"/>
        <v>0.027826654781593223</v>
      </c>
      <c r="G21" s="1">
        <f t="shared" si="1"/>
        <v>2.150537634408602</v>
      </c>
      <c r="H21" s="23">
        <f>60000</f>
        <v>60000</v>
      </c>
      <c r="I21" s="1">
        <f t="shared" si="2"/>
        <v>0.027826654781593223</v>
      </c>
      <c r="J21" s="1">
        <f t="shared" si="3"/>
        <v>2.150537634408602</v>
      </c>
      <c r="K21" s="23">
        <f>60000</f>
        <v>60000</v>
      </c>
      <c r="L21" s="1">
        <f t="shared" si="4"/>
        <v>0.027826654781593223</v>
      </c>
      <c r="M21" s="1">
        <f t="shared" si="5"/>
        <v>2.150537634408602</v>
      </c>
    </row>
    <row r="22" spans="1:13" s="14" customFormat="1" ht="15">
      <c r="A22" s="12" t="s">
        <v>36</v>
      </c>
      <c r="B22" s="13" t="s">
        <v>14</v>
      </c>
      <c r="C22" s="22">
        <f>SUM(C23:C26)</f>
        <v>28897090.94</v>
      </c>
      <c r="D22" s="22">
        <f>SUM(D23:D26)</f>
        <v>115196245.75999999</v>
      </c>
      <c r="E22" s="22">
        <f>SUM(E23:E26)</f>
        <v>29456873.240000002</v>
      </c>
      <c r="F22" s="2">
        <f t="shared" si="0"/>
        <v>1.0193715796916132</v>
      </c>
      <c r="G22" s="2">
        <f t="shared" si="1"/>
        <v>0.2557103579692214</v>
      </c>
      <c r="H22" s="22">
        <f>SUM(H23:H26)</f>
        <v>16903428.869999997</v>
      </c>
      <c r="I22" s="2">
        <f t="shared" si="2"/>
        <v>0.5849526135726656</v>
      </c>
      <c r="J22" s="2">
        <f t="shared" si="3"/>
        <v>0.14673593534650967</v>
      </c>
      <c r="K22" s="22">
        <f>SUM(K23:K26)</f>
        <v>17075130.54</v>
      </c>
      <c r="L22" s="2">
        <f t="shared" si="4"/>
        <v>0.5908944459306879</v>
      </c>
      <c r="M22" s="2">
        <f t="shared" si="5"/>
        <v>0.14822644980613647</v>
      </c>
    </row>
    <row r="23" spans="1:13" ht="15">
      <c r="A23" s="15" t="s">
        <v>37</v>
      </c>
      <c r="B23" s="17" t="s">
        <v>30</v>
      </c>
      <c r="C23" s="23">
        <f>1475685.96</f>
        <v>1475685.96</v>
      </c>
      <c r="D23" s="23">
        <f>2066956.5</f>
        <v>2066956.5</v>
      </c>
      <c r="E23" s="23">
        <f>2221784.59</f>
        <v>2221784.59</v>
      </c>
      <c r="F23" s="1">
        <f t="shared" si="0"/>
        <v>1.5055944491062312</v>
      </c>
      <c r="G23" s="1">
        <f t="shared" si="1"/>
        <v>1.0749063127356575</v>
      </c>
      <c r="H23" s="23">
        <f>1981192.02</f>
        <v>1981192.02</v>
      </c>
      <c r="I23" s="1">
        <f t="shared" si="2"/>
        <v>1.3425566642919067</v>
      </c>
      <c r="J23" s="1">
        <f t="shared" si="3"/>
        <v>0.9585068771403752</v>
      </c>
      <c r="K23" s="23">
        <f>1981192.02</f>
        <v>1981192.02</v>
      </c>
      <c r="L23" s="1">
        <f t="shared" si="4"/>
        <v>1.3425566642919067</v>
      </c>
      <c r="M23" s="1">
        <f t="shared" si="5"/>
        <v>0.9585068771403752</v>
      </c>
    </row>
    <row r="24" spans="1:13" ht="15" outlineLevel="1">
      <c r="A24" s="15" t="s">
        <v>38</v>
      </c>
      <c r="B24" s="17" t="s">
        <v>15</v>
      </c>
      <c r="C24" s="23">
        <f>3778569.5</f>
        <v>3778569.5</v>
      </c>
      <c r="D24" s="23">
        <f>10620656.78</f>
        <v>10620656.78</v>
      </c>
      <c r="E24" s="23">
        <f>4824974.64</f>
        <v>4824974.64</v>
      </c>
      <c r="F24" s="1">
        <f t="shared" si="0"/>
        <v>1.276931558358262</v>
      </c>
      <c r="G24" s="1">
        <f t="shared" si="1"/>
        <v>0.45430096649823193</v>
      </c>
      <c r="H24" s="23">
        <f>3089572</f>
        <v>3089572</v>
      </c>
      <c r="I24" s="1">
        <f t="shared" si="2"/>
        <v>0.8176565231895297</v>
      </c>
      <c r="J24" s="1">
        <f t="shared" si="3"/>
        <v>0.2909021601957841</v>
      </c>
      <c r="K24" s="23">
        <f>3089572</f>
        <v>3089572</v>
      </c>
      <c r="L24" s="1">
        <f t="shared" si="4"/>
        <v>0.8176565231895297</v>
      </c>
      <c r="M24" s="1">
        <f t="shared" si="5"/>
        <v>0.2909021601957841</v>
      </c>
    </row>
    <row r="25" spans="1:13" ht="15" outlineLevel="1">
      <c r="A25" s="15" t="s">
        <v>39</v>
      </c>
      <c r="B25" s="17" t="s">
        <v>16</v>
      </c>
      <c r="C25" s="23">
        <f>19492835.48</f>
        <v>19492835.48</v>
      </c>
      <c r="D25" s="23">
        <f>46648132.48</f>
        <v>46648132.48</v>
      </c>
      <c r="E25" s="23">
        <f>22410114.01</f>
        <v>22410114.01</v>
      </c>
      <c r="F25" s="1">
        <f t="shared" si="0"/>
        <v>1.1496590135895406</v>
      </c>
      <c r="G25" s="1">
        <f t="shared" si="1"/>
        <v>0.48040752798856745</v>
      </c>
      <c r="H25" s="23">
        <f>11832664.85</f>
        <v>11832664.85</v>
      </c>
      <c r="I25" s="1">
        <f t="shared" si="2"/>
        <v>0.6070263539719774</v>
      </c>
      <c r="J25" s="1">
        <f t="shared" si="3"/>
        <v>0.2536578469689683</v>
      </c>
      <c r="K25" s="23">
        <f>12004366.52</f>
        <v>12004366.52</v>
      </c>
      <c r="L25" s="1">
        <f t="shared" si="4"/>
        <v>0.6158348041421011</v>
      </c>
      <c r="M25" s="1">
        <f t="shared" si="5"/>
        <v>0.25733863033309584</v>
      </c>
    </row>
    <row r="26" spans="1:13" ht="25.5" outlineLevel="1">
      <c r="A26" s="15" t="s">
        <v>40</v>
      </c>
      <c r="B26" s="17" t="s">
        <v>17</v>
      </c>
      <c r="C26" s="23">
        <f>4150000</f>
        <v>4150000</v>
      </c>
      <c r="D26" s="23">
        <f>55860500</f>
        <v>55860500</v>
      </c>
      <c r="E26" s="23">
        <f>0</f>
        <v>0</v>
      </c>
      <c r="F26" s="1">
        <f t="shared" si="0"/>
        <v>0</v>
      </c>
      <c r="G26" s="1">
        <f t="shared" si="1"/>
        <v>0</v>
      </c>
      <c r="H26" s="23">
        <f>0</f>
        <v>0</v>
      </c>
      <c r="I26" s="1">
        <f>0</f>
        <v>0</v>
      </c>
      <c r="J26" s="1">
        <f t="shared" si="3"/>
        <v>0</v>
      </c>
      <c r="K26" s="23">
        <f>0</f>
        <v>0</v>
      </c>
      <c r="L26" s="1">
        <f>0</f>
        <v>0</v>
      </c>
      <c r="M26" s="1">
        <f t="shared" si="5"/>
        <v>0</v>
      </c>
    </row>
    <row r="27" spans="1:13" s="14" customFormat="1" ht="15">
      <c r="A27" s="12" t="s">
        <v>41</v>
      </c>
      <c r="B27" s="13" t="s">
        <v>18</v>
      </c>
      <c r="C27" s="22">
        <f>SUM(C28:C29)</f>
        <v>38720</v>
      </c>
      <c r="D27" s="22">
        <f>SUM(D28:D29)</f>
        <v>50720</v>
      </c>
      <c r="E27" s="22">
        <f>SUM(E28:E29)</f>
        <v>38720</v>
      </c>
      <c r="F27" s="2">
        <f t="shared" si="0"/>
        <v>1</v>
      </c>
      <c r="G27" s="2">
        <f t="shared" si="1"/>
        <v>0.7634069400630915</v>
      </c>
      <c r="H27" s="22">
        <f>SUM(H28:H29)</f>
        <v>38720</v>
      </c>
      <c r="I27" s="2">
        <f t="shared" si="2"/>
        <v>1</v>
      </c>
      <c r="J27" s="2">
        <f t="shared" si="3"/>
        <v>0.7634069400630915</v>
      </c>
      <c r="K27" s="22">
        <f>SUM(K28:K29)</f>
        <v>38720</v>
      </c>
      <c r="L27" s="2">
        <f t="shared" si="4"/>
        <v>1</v>
      </c>
      <c r="M27" s="2">
        <f t="shared" si="5"/>
        <v>0.7634069400630915</v>
      </c>
    </row>
    <row r="28" spans="1:13" s="21" customFormat="1" ht="25.5">
      <c r="A28" s="15" t="s">
        <v>87</v>
      </c>
      <c r="B28" s="17" t="s">
        <v>86</v>
      </c>
      <c r="C28" s="23">
        <f>0</f>
        <v>0</v>
      </c>
      <c r="D28" s="23">
        <f>12000</f>
        <v>12000</v>
      </c>
      <c r="E28" s="23">
        <f>0</f>
        <v>0</v>
      </c>
      <c r="F28" s="1">
        <f>0</f>
        <v>0</v>
      </c>
      <c r="G28" s="1">
        <f t="shared" si="1"/>
        <v>0</v>
      </c>
      <c r="H28" s="23">
        <f>0</f>
        <v>0</v>
      </c>
      <c r="I28" s="1">
        <f>0</f>
        <v>0</v>
      </c>
      <c r="J28" s="1">
        <f t="shared" si="3"/>
        <v>0</v>
      </c>
      <c r="K28" s="23">
        <f>0</f>
        <v>0</v>
      </c>
      <c r="L28" s="1">
        <f>0</f>
        <v>0</v>
      </c>
      <c r="M28" s="1">
        <f t="shared" si="5"/>
        <v>0</v>
      </c>
    </row>
    <row r="29" spans="1:13" ht="15" outlineLevel="1">
      <c r="A29" s="15" t="s">
        <v>42</v>
      </c>
      <c r="B29" s="16" t="s">
        <v>19</v>
      </c>
      <c r="C29" s="23">
        <f>38720</f>
        <v>38720</v>
      </c>
      <c r="D29" s="25">
        <f>38720</f>
        <v>38720</v>
      </c>
      <c r="E29" s="23">
        <f>38720</f>
        <v>38720</v>
      </c>
      <c r="F29" s="1">
        <f t="shared" si="0"/>
        <v>1</v>
      </c>
      <c r="G29" s="1">
        <f t="shared" si="1"/>
        <v>1</v>
      </c>
      <c r="H29" s="23">
        <f>38720</f>
        <v>38720</v>
      </c>
      <c r="I29" s="1">
        <f t="shared" si="2"/>
        <v>1</v>
      </c>
      <c r="J29" s="1">
        <f t="shared" si="3"/>
        <v>1</v>
      </c>
      <c r="K29" s="23">
        <f>38720</f>
        <v>38720</v>
      </c>
      <c r="L29" s="1">
        <f t="shared" si="4"/>
        <v>1</v>
      </c>
      <c r="M29" s="1">
        <f t="shared" si="5"/>
        <v>1</v>
      </c>
    </row>
    <row r="30" spans="1:13" s="14" customFormat="1" ht="15">
      <c r="A30" s="12" t="s">
        <v>43</v>
      </c>
      <c r="B30" s="13" t="s">
        <v>20</v>
      </c>
      <c r="C30" s="22">
        <f>C31</f>
        <v>28875100.92</v>
      </c>
      <c r="D30" s="22">
        <f>D31</f>
        <v>36512646.24</v>
      </c>
      <c r="E30" s="22">
        <f>E31</f>
        <v>23316146.13</v>
      </c>
      <c r="F30" s="2">
        <f t="shared" si="0"/>
        <v>0.8074827580550669</v>
      </c>
      <c r="G30" s="2">
        <f t="shared" si="1"/>
        <v>0.6385772747541072</v>
      </c>
      <c r="H30" s="22">
        <f>H31</f>
        <v>19328174.51</v>
      </c>
      <c r="I30" s="2">
        <f t="shared" si="2"/>
        <v>0.6693716695068784</v>
      </c>
      <c r="J30" s="2">
        <f t="shared" si="3"/>
        <v>0.5293556205966188</v>
      </c>
      <c r="K30" s="22">
        <f>K31</f>
        <v>19328174.51</v>
      </c>
      <c r="L30" s="2">
        <f t="shared" si="4"/>
        <v>0.6693716695068784</v>
      </c>
      <c r="M30" s="2">
        <f t="shared" si="5"/>
        <v>0.5293556205966188</v>
      </c>
    </row>
    <row r="31" spans="1:13" ht="15" outlineLevel="1">
      <c r="A31" s="15" t="s">
        <v>44</v>
      </c>
      <c r="B31" s="16" t="s">
        <v>21</v>
      </c>
      <c r="C31" s="23">
        <f>28875100.92</f>
        <v>28875100.92</v>
      </c>
      <c r="D31" s="23">
        <f>36512646.24</f>
        <v>36512646.24</v>
      </c>
      <c r="E31" s="23">
        <f>23316146.13</f>
        <v>23316146.13</v>
      </c>
      <c r="F31" s="1">
        <f t="shared" si="0"/>
        <v>0.8074827580550669</v>
      </c>
      <c r="G31" s="1">
        <f t="shared" si="1"/>
        <v>0.6385772747541072</v>
      </c>
      <c r="H31" s="23">
        <f>19328174.51</f>
        <v>19328174.51</v>
      </c>
      <c r="I31" s="1">
        <f t="shared" si="2"/>
        <v>0.6693716695068784</v>
      </c>
      <c r="J31" s="1">
        <f t="shared" si="3"/>
        <v>0.5293556205966188</v>
      </c>
      <c r="K31" s="23">
        <f>19328174.51</f>
        <v>19328174.51</v>
      </c>
      <c r="L31" s="1">
        <f t="shared" si="4"/>
        <v>0.6693716695068784</v>
      </c>
      <c r="M31" s="1">
        <f t="shared" si="5"/>
        <v>0.5293556205966188</v>
      </c>
    </row>
    <row r="32" spans="1:13" s="14" customFormat="1" ht="15">
      <c r="A32" s="12" t="s">
        <v>45</v>
      </c>
      <c r="B32" s="13" t="s">
        <v>22</v>
      </c>
      <c r="C32" s="22">
        <f>SUM(C33:C34)</f>
        <v>255595.08</v>
      </c>
      <c r="D32" s="22">
        <f>SUM(D33:D34)</f>
        <v>1050821.66</v>
      </c>
      <c r="E32" s="22">
        <f>SUM(E33:E34)</f>
        <v>1776604.39</v>
      </c>
      <c r="F32" s="2">
        <f t="shared" si="0"/>
        <v>6.950855196430228</v>
      </c>
      <c r="G32" s="2">
        <f t="shared" si="1"/>
        <v>1.6906811665834904</v>
      </c>
      <c r="H32" s="22">
        <f>SUM(H33:H34)</f>
        <v>1736068.19</v>
      </c>
      <c r="I32" s="2">
        <f t="shared" si="2"/>
        <v>6.792259811886833</v>
      </c>
      <c r="J32" s="2">
        <f t="shared" si="3"/>
        <v>1.65210544860676</v>
      </c>
      <c r="K32" s="22">
        <f>SUM(K33:K34)</f>
        <v>1736068.19</v>
      </c>
      <c r="L32" s="2">
        <f t="shared" si="4"/>
        <v>6.792259811886833</v>
      </c>
      <c r="M32" s="2">
        <f t="shared" si="5"/>
        <v>1.65210544860676</v>
      </c>
    </row>
    <row r="33" spans="1:13" ht="15" outlineLevel="1">
      <c r="A33" s="15" t="s">
        <v>46</v>
      </c>
      <c r="B33" s="16" t="s">
        <v>23</v>
      </c>
      <c r="C33" s="23">
        <f>195595.08</f>
        <v>195595.08</v>
      </c>
      <c r="D33" s="23">
        <f>213251.15</f>
        <v>213251.15</v>
      </c>
      <c r="E33" s="23">
        <f>248536.2</f>
        <v>248536.2</v>
      </c>
      <c r="F33" s="1">
        <f t="shared" si="0"/>
        <v>1.2706669308859917</v>
      </c>
      <c r="G33" s="1">
        <f t="shared" si="1"/>
        <v>1.1654624136845217</v>
      </c>
      <c r="H33" s="23">
        <f>208000</f>
        <v>208000</v>
      </c>
      <c r="I33" s="1">
        <f t="shared" si="2"/>
        <v>1.063421431663823</v>
      </c>
      <c r="J33" s="1">
        <f t="shared" si="3"/>
        <v>0.9753757482667738</v>
      </c>
      <c r="K33" s="23">
        <f>208000</f>
        <v>208000</v>
      </c>
      <c r="L33" s="1">
        <f t="shared" si="4"/>
        <v>1.063421431663823</v>
      </c>
      <c r="M33" s="1">
        <f t="shared" si="5"/>
        <v>0.9753757482667738</v>
      </c>
    </row>
    <row r="34" spans="1:13" ht="15" outlineLevel="1">
      <c r="A34" s="15" t="s">
        <v>47</v>
      </c>
      <c r="B34" s="16" t="s">
        <v>24</v>
      </c>
      <c r="C34" s="23">
        <f>60000</f>
        <v>60000</v>
      </c>
      <c r="D34" s="23">
        <f>837570.51</f>
        <v>837570.51</v>
      </c>
      <c r="E34" s="23">
        <f>1528068.19</f>
        <v>1528068.19</v>
      </c>
      <c r="F34" s="1">
        <f t="shared" si="0"/>
        <v>25.467803166666666</v>
      </c>
      <c r="G34" s="1">
        <f t="shared" si="1"/>
        <v>1.8244054342362173</v>
      </c>
      <c r="H34" s="23">
        <f>1528068.19</f>
        <v>1528068.19</v>
      </c>
      <c r="I34" s="1">
        <f t="shared" si="2"/>
        <v>25.467803166666666</v>
      </c>
      <c r="J34" s="1">
        <f t="shared" si="3"/>
        <v>1.8244054342362173</v>
      </c>
      <c r="K34" s="23">
        <f>1528068.19</f>
        <v>1528068.19</v>
      </c>
      <c r="L34" s="1">
        <f t="shared" si="4"/>
        <v>25.467803166666666</v>
      </c>
      <c r="M34" s="1">
        <f t="shared" si="5"/>
        <v>1.8244054342362173</v>
      </c>
    </row>
    <row r="35" spans="1:13" s="14" customFormat="1" ht="15">
      <c r="A35" s="12" t="s">
        <v>48</v>
      </c>
      <c r="B35" s="13" t="s">
        <v>25</v>
      </c>
      <c r="C35" s="22">
        <f>C36</f>
        <v>108679.2</v>
      </c>
      <c r="D35" s="22">
        <f>D36</f>
        <v>198696</v>
      </c>
      <c r="E35" s="22">
        <f>E36</f>
        <v>235840</v>
      </c>
      <c r="F35" s="2">
        <f t="shared" si="0"/>
        <v>2.170056459745747</v>
      </c>
      <c r="G35" s="2">
        <f t="shared" si="1"/>
        <v>1.1869388412449169</v>
      </c>
      <c r="H35" s="22">
        <f>H36</f>
        <v>235840</v>
      </c>
      <c r="I35" s="2">
        <f t="shared" si="2"/>
        <v>2.170056459745747</v>
      </c>
      <c r="J35" s="2">
        <f t="shared" si="3"/>
        <v>1.1869388412449169</v>
      </c>
      <c r="K35" s="22">
        <f>K36</f>
        <v>235840</v>
      </c>
      <c r="L35" s="2">
        <f t="shared" si="4"/>
        <v>2.170056459745747</v>
      </c>
      <c r="M35" s="2">
        <f t="shared" si="5"/>
        <v>1.1869388412449169</v>
      </c>
    </row>
    <row r="36" spans="1:13" ht="15" outlineLevel="1">
      <c r="A36" s="15" t="s">
        <v>49</v>
      </c>
      <c r="B36" s="16" t="s">
        <v>26</v>
      </c>
      <c r="C36" s="23">
        <f>108679.2</f>
        <v>108679.2</v>
      </c>
      <c r="D36" s="23">
        <f>198696</f>
        <v>198696</v>
      </c>
      <c r="E36" s="23">
        <f>235840</f>
        <v>235840</v>
      </c>
      <c r="F36" s="1">
        <f t="shared" si="0"/>
        <v>2.170056459745747</v>
      </c>
      <c r="G36" s="1">
        <f t="shared" si="1"/>
        <v>1.1869388412449169</v>
      </c>
      <c r="H36" s="23">
        <f>235840</f>
        <v>235840</v>
      </c>
      <c r="I36" s="1">
        <f t="shared" si="2"/>
        <v>2.170056459745747</v>
      </c>
      <c r="J36" s="1">
        <f t="shared" si="3"/>
        <v>1.1869388412449169</v>
      </c>
      <c r="K36" s="23">
        <f>235840</f>
        <v>235840</v>
      </c>
      <c r="L36" s="1">
        <f t="shared" si="4"/>
        <v>2.170056459745747</v>
      </c>
      <c r="M36" s="1">
        <f t="shared" si="5"/>
        <v>1.1869388412449169</v>
      </c>
    </row>
    <row r="37" spans="1:13" s="14" customFormat="1" ht="25.5">
      <c r="A37" s="12" t="s">
        <v>50</v>
      </c>
      <c r="B37" s="13" t="s">
        <v>27</v>
      </c>
      <c r="C37" s="22">
        <f>C38</f>
        <v>12103.88</v>
      </c>
      <c r="D37" s="22">
        <f>D38</f>
        <v>36279.18</v>
      </c>
      <c r="E37" s="22">
        <f>E38</f>
        <v>30582.25</v>
      </c>
      <c r="F37" s="2">
        <f t="shared" si="0"/>
        <v>2.5266484796610675</v>
      </c>
      <c r="G37" s="2">
        <f t="shared" si="1"/>
        <v>0.8429697143099706</v>
      </c>
      <c r="H37" s="22">
        <f>H38</f>
        <v>10706.75</v>
      </c>
      <c r="I37" s="2">
        <f t="shared" si="2"/>
        <v>0.8845717241083025</v>
      </c>
      <c r="J37" s="2">
        <f t="shared" si="3"/>
        <v>0.29512105841421993</v>
      </c>
      <c r="K37" s="22">
        <f>K38</f>
        <v>0</v>
      </c>
      <c r="L37" s="2">
        <f t="shared" si="4"/>
        <v>0</v>
      </c>
      <c r="M37" s="2">
        <f t="shared" si="5"/>
        <v>0</v>
      </c>
    </row>
    <row r="38" spans="1:13" ht="25.5" outlineLevel="1">
      <c r="A38" s="15" t="s">
        <v>51</v>
      </c>
      <c r="B38" s="16" t="s">
        <v>28</v>
      </c>
      <c r="C38" s="23">
        <f>12103.88</f>
        <v>12103.88</v>
      </c>
      <c r="D38" s="23">
        <f>36279.18</f>
        <v>36279.18</v>
      </c>
      <c r="E38" s="23">
        <f>30582.25</f>
        <v>30582.25</v>
      </c>
      <c r="F38" s="1">
        <f t="shared" si="0"/>
        <v>2.5266484796610675</v>
      </c>
      <c r="G38" s="1">
        <f t="shared" si="1"/>
        <v>0.8429697143099706</v>
      </c>
      <c r="H38" s="23">
        <f>10706.75</f>
        <v>10706.75</v>
      </c>
      <c r="I38" s="1">
        <f t="shared" si="2"/>
        <v>0.8845717241083025</v>
      </c>
      <c r="J38" s="1">
        <f t="shared" si="3"/>
        <v>0.29512105841421993</v>
      </c>
      <c r="K38" s="23">
        <f>0</f>
        <v>0</v>
      </c>
      <c r="L38" s="1">
        <f t="shared" si="4"/>
        <v>0</v>
      </c>
      <c r="M38" s="1">
        <f t="shared" si="5"/>
        <v>0</v>
      </c>
    </row>
    <row r="39" spans="1:13" s="14" customFormat="1" ht="12.75" customHeight="1">
      <c r="A39" s="29" t="s">
        <v>66</v>
      </c>
      <c r="B39" s="29"/>
      <c r="C39" s="26">
        <f>C6+C13+C17+C22+C27+C30+C32+C35+C37</f>
        <v>101852082.49</v>
      </c>
      <c r="D39" s="26">
        <f>D6+D13+D17+D22+D27+D30+D32+D35+D37</f>
        <v>205104938.07</v>
      </c>
      <c r="E39" s="26">
        <f>E6+E13+E17+E22+E27+E30+E32+E35+E37</f>
        <v>88482684.823</v>
      </c>
      <c r="F39" s="2">
        <f>E39/C39</f>
        <v>0.8687371201436885</v>
      </c>
      <c r="G39" s="2">
        <f t="shared" si="1"/>
        <v>0.431402021109808</v>
      </c>
      <c r="H39" s="26">
        <f>H6+H13+H17+H22+H27+H30+H32+H35+H37</f>
        <v>65894073.08</v>
      </c>
      <c r="I39" s="2">
        <f>H39/C39</f>
        <v>0.646958525236532</v>
      </c>
      <c r="J39" s="2">
        <f>H39/D39</f>
        <v>0.32127004693329764</v>
      </c>
      <c r="K39" s="26">
        <f>K6+K13+K17+K22+K27+K30+K32+K35+K37</f>
        <v>62386556.81999999</v>
      </c>
      <c r="L39" s="2">
        <f>K39/C39</f>
        <v>0.612521170847196</v>
      </c>
      <c r="M39" s="2">
        <f>K39/D39</f>
        <v>0.3041689654429879</v>
      </c>
    </row>
    <row r="40" spans="1:13" ht="15">
      <c r="A40" s="30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18"/>
      <c r="M40" s="18"/>
    </row>
    <row r="41" spans="1:13" s="20" customFormat="1" ht="28.5" customHeight="1">
      <c r="A41" s="33" t="s">
        <v>81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</sheetData>
  <sheetProtection/>
  <mergeCells count="5">
    <mergeCell ref="A2:K2"/>
    <mergeCell ref="A39:B39"/>
    <mergeCell ref="A40:K40"/>
    <mergeCell ref="A1:M1"/>
    <mergeCell ref="A41:M41"/>
  </mergeCells>
  <printOptions/>
  <pageMargins left="0.984251968503937" right="0.3937007874015748" top="0.7874015748031497" bottom="0.5905511811023623" header="0.3937007874015748" footer="0.5118110236220472"/>
  <pageSetup blackAndWhite="1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Елесина Алена Сергеевна</dc:creator>
  <cp:keywords/>
  <dc:description/>
  <cp:lastModifiedBy>Жирякова</cp:lastModifiedBy>
  <cp:lastPrinted>2019-10-28T05:37:11Z</cp:lastPrinted>
  <dcterms:created xsi:type="dcterms:W3CDTF">2018-10-31T12:49:20Z</dcterms:created>
  <dcterms:modified xsi:type="dcterms:W3CDTF">2020-11-12T13:23:36Z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