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1'!$17:$17</definedName>
  </definedNames>
  <calcPr fullCalcOnLoad="1"/>
</workbook>
</file>

<file path=xl/sharedStrings.xml><?xml version="1.0" encoding="utf-8"?>
<sst xmlns="http://schemas.openxmlformats.org/spreadsheetml/2006/main" count="423" uniqueCount="369">
  <si>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</si>
  <si>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</si>
  <si>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</si>
  <si>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</si>
  <si>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</si>
  <si>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</si>
  <si>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</si>
  <si>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</si>
  <si>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</si>
  <si>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</si>
  <si>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</si>
  <si>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</si>
  <si>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</si>
  <si>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</si>
  <si>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</si>
  <si>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</si>
  <si>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</si>
  <si>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</si>
  <si>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</si>
  <si>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</si>
  <si>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</si>
  <si>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</si>
  <si>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</si>
  <si>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</si>
  <si>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</si>
  <si>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</si>
  <si>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</si>
  <si>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</si>
  <si>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</si>
  <si>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</si>
  <si>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</si>
  <si>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</si>
  <si>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</si>
  <si>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</si>
  <si>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</si>
  <si>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</si>
  <si>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</si>
  <si>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</si>
  <si>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</si>
  <si>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</si>
  <si>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</si>
  <si>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</si>
  <si>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</si>
  <si>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</si>
  <si>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</si>
  <si>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</si>
  <si>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</si>
  <si>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</si>
  <si>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</si>
  <si>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</si>
  <si>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</si>
  <si>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</si>
  <si>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</si>
  <si>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</si>
  <si>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</si>
  <si>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</si>
  <si>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</si>
  <si>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</si>
  <si>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</si>
  <si>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</si>
  <si>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</si>
  <si>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</si>
  <si>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</si>
  <si>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</si>
  <si>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</si>
  <si>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</si>
  <si>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</si>
  <si>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</si>
  <si>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</si>
  <si>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</si>
  <si>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</si>
  <si>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</si>
  <si>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</si>
  <si>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</si>
  <si>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</si>
  <si>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</si>
  <si>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</si>
  <si>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</si>
  <si>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</si>
  <si>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</si>
  <si>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</si>
  <si>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</si>
  <si>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</si>
  <si>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</si>
  <si>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</si>
  <si>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</si>
  <si>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</si>
  <si>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</si>
  <si>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</si>
  <si>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</si>
  <si>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</si>
  <si>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</si>
  <si>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</si>
  <si>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</si>
  <si>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</si>
  <si>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</si>
  <si>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</si>
  <si>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</si>
  <si>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</si>
  <si>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</si>
  <si>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</si>
  <si>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</si>
  <si>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</si>
  <si>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</si>
  <si>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</si>
  <si>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</si>
  <si>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</si>
  <si>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</si>
  <si>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</si>
  <si>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</si>
  <si>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</si>
  <si>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</si>
  <si>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</si>
  <si>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</si>
  <si>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</si>
  <si>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</si>
  <si>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</si>
  <si>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</si>
  <si>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</si>
  <si>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</si>
  <si>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</si>
  <si>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</si>
  <si>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</si>
  <si>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</si>
  <si>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</si>
  <si>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</si>
  <si>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</si>
  <si>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</si>
  <si>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</si>
  <si>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</si>
  <si>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</si>
  <si>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</si>
  <si>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</si>
  <si>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</si>
  <si>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</si>
  <si>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</si>
  <si>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</si>
  <si>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</si>
  <si>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</si>
  <si>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</si>
  <si>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</si>
  <si>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</si>
  <si>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</si>
  <si>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</si>
  <si>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</si>
  <si>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</si>
  <si>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</si>
  <si>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</si>
  <si>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</si>
  <si>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</si>
  <si>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</si>
  <si>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</si>
  <si>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</si>
  <si>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</si>
  <si>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</si>
  <si>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</si>
  <si>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</si>
  <si>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</si>
  <si>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</si>
  <si>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</si>
  <si>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</si>
  <si>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</si>
  <si>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</si>
  <si>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</si>
  <si>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</si>
  <si>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</si>
  <si>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</si>
  <si>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</si>
  <si>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</si>
  <si>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</si>
  <si>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</si>
  <si>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</si>
  <si>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</si>
  <si>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</si>
  <si>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</si>
  <si>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</si>
  <si>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</si>
  <si>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</si>
  <si>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</si>
  <si>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</si>
  <si>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</si>
  <si>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</si>
  <si>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</si>
  <si>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</si>
  <si>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</si>
  <si>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</si>
  <si>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</si>
  <si>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</si>
  <si>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</si>
  <si>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</si>
  <si>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</si>
  <si>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</si>
  <si>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</si>
  <si>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</si>
  <si>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</si>
  <si>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</si>
  <si>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</si>
  <si>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</si>
  <si>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</si>
  <si>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</si>
  <si>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</si>
  <si>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</si>
  <si>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</si>
  <si>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322 1 16 43000 01 0000 140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</si>
  <si>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</si>
  <si>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</si>
  <si>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</si>
  <si>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</si>
  <si>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</si>
  <si>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</si>
  <si>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</si>
  <si>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</si>
  <si>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</si>
  <si>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</si>
  <si>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</si>
  <si>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</si>
  <si>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</si>
  <si>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</si>
  <si>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</si>
  <si>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</si>
  <si>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</si>
  <si>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</si>
  <si>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</si>
  <si>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</si>
  <si>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</si>
  <si>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</si>
  <si>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</si>
  <si>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</si>
  <si>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</si>
  <si>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</si>
  <si>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</si>
  <si>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</si>
  <si>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</si>
  <si>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</si>
  <si>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</si>
  <si>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</si>
  <si>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</si>
  <si>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</si>
  <si>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</si>
  <si>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</si>
  <si>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</si>
  <si>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</si>
  <si>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</si>
  <si>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</si>
  <si>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</si>
  <si>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</si>
  <si>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</si>
  <si>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</si>
  <si>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</si>
  <si>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</si>
  <si>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</si>
  <si>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</si>
  <si>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</si>
  <si>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</si>
  <si>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</si>
  <si>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</si>
  <si>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</si>
  <si>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</si>
  <si>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</si>
  <si>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</si>
  <si>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</si>
  <si>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</si>
  <si>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</si>
  <si>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</si>
  <si>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</si>
  <si>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</si>
  <si>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</si>
  <si>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</si>
  <si>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</si>
  <si>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</si>
  <si>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</si>
  <si>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</si>
  <si>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</si>
  <si>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</si>
  <si>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</si>
  <si>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</si>
  <si>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</si>
  <si>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</si>
  <si>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</si>
  <si>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</si>
  <si>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</si>
  <si>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</si>
  <si>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</si>
  <si>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</si>
  <si>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</si>
  <si>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</si>
  <si>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</si>
  <si>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000 1 12 01042 01 0000 120
</t>
  </si>
  <si>
    <t xml:space="preserve">Плата за размещение твердых коммунальных отходов
</t>
  </si>
  <si>
    <t xml:space="preserve">048 1 12 01042 01 0000 120
</t>
  </si>
  <si>
    <t>039 1 13 02995 05 0000 130</t>
  </si>
  <si>
    <t>044 1 13 02995 05 0000 130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</si>
  <si>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</si>
  <si>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</si>
  <si>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000 1 14 06025 05 0000 430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</si>
  <si>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</si>
  <si>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041 1 14 06025 05 0000 430
</t>
  </si>
  <si>
    <t xml:space="preserve">000 1 16 03030 01 0000 140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</si>
  <si>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</si>
  <si>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182 1 16 03030 01 0000 140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</si>
  <si>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</si>
  <si>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</si>
  <si>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</si>
  <si>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 xml:space="preserve">000 1 16 30000 01 0000 140
</t>
  </si>
  <si>
    <t xml:space="preserve">Денежные взыскания (штрафы) за правонарушения в области дорожного движения
</t>
  </si>
  <si>
    <t xml:space="preserve">000 1 16 30030 01 0000 140
</t>
  </si>
  <si>
    <t xml:space="preserve">Прочие денежные взыскания (штрафы) за правонарушения в области дорожного движения
</t>
  </si>
  <si>
    <t xml:space="preserve">188 1 16 30030 01 0000 140
</t>
  </si>
  <si>
    <t>000 2 02 20077 00 0000 150</t>
  </si>
  <si>
    <t>000 2 02 20077 05 0000 150</t>
  </si>
  <si>
    <t>044 2 02 20077 05 0000 150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</si>
  <si>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</si>
  <si>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</si>
  <si>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039 2 19 60010 05 0000 150
</t>
  </si>
  <si>
    <t xml:space="preserve">000 1 16 21000 00 0000 140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</si>
  <si>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</si>
  <si>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 xml:space="preserve">000 1 16 21050 05 0000 140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</si>
  <si>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</si>
  <si>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 xml:space="preserve">188 1 16 21050 05 0000 140
</t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</si>
  <si>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</si>
  <si>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</si>
  <si>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</si>
  <si>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</si>
  <si>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</si>
  <si>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r>
      <t xml:space="preserve">БЕЗВОЗМЕЗДНЫЕ ПОСТУПЛЕНИЯ </t>
    </r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</si>
  <si>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</si>
  <si>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</si>
  <si>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</si>
  <si>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</si>
  <si>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000 1 05 02020 02 0000 110</t>
  </si>
  <si>
    <t>182 1 05 02020 02 0000 110</t>
  </si>
  <si>
    <t>000 1 11 09000 00 0000 120</t>
  </si>
  <si>
    <t>000 1 11 09045 05 0000 120</t>
  </si>
  <si>
    <t>035 1 11 09045 05 0000 120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</si>
  <si>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</si>
  <si>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</si>
  <si>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</si>
  <si>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</si>
  <si>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</si>
  <si>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</si>
  <si>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000 1 16 25030 01 0000 140</t>
  </si>
  <si>
    <t>041 1 16 25030 01 0000 140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</si>
  <si>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</si>
  <si>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000 2 02 45550 05 0000 150</t>
  </si>
  <si>
    <t>035 2 02 45550 05 0000 150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</si>
  <si>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</si>
  <si>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000 2 02 45550 00 0000 150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</si>
  <si>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</si>
  <si>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Приложение № 1</t>
  </si>
  <si>
    <t>"Об утверждении</t>
  </si>
  <si>
    <t>отчета об исполнении бюджета</t>
  </si>
  <si>
    <t>Южского муниципального района</t>
  </si>
  <si>
    <t>за 2019 год"</t>
  </si>
  <si>
    <t xml:space="preserve">Доходы бюджета Южского муниципального района по кодам классификации доходов бюджетов за 2019 год </t>
  </si>
  <si>
    <t>от _____________ № ________</t>
  </si>
  <si>
    <t xml:space="preserve">000 1 17 00000 00 0000 000
</t>
  </si>
  <si>
    <t xml:space="preserve">ПРОЧИЕ НЕНАЛОГОВЫЕ ДОХОДЫ
</t>
  </si>
  <si>
    <t xml:space="preserve">000 1 17 01000 00 0000 180
</t>
  </si>
  <si>
    <t xml:space="preserve">Невыясненные поступления
</t>
  </si>
  <si>
    <t xml:space="preserve">000 1 17 01050 05 0000 180
</t>
  </si>
  <si>
    <t xml:space="preserve">Невыясненные поступления, зачисляемые в бюджеты муниципальных районов
</t>
  </si>
  <si>
    <t xml:space="preserve">041 1 17 01050 05 0000 180
</t>
  </si>
  <si>
    <t>Утверждено на год</t>
  </si>
  <si>
    <t xml:space="preserve">Исполнено за 2019 год (руб.) </t>
  </si>
  <si>
    <t>Процент исполнения (%)</t>
  </si>
  <si>
    <t>Решением Совета Южского муниципального района от 19.12.2018 № 100 "О бюджете Южского муниципального района на 2019 год и на плановый период 2020 и 2021 годов" (руб.)</t>
  </si>
  <si>
    <t>Решением Совета Южского муниципального района от 19.12.2018 № 100 "О бюджете Южского муниципального района на 2019 год и на плановый период 2020 и 2021 годов" с учетом изменений на отчетную дату (руб.)</t>
  </si>
  <si>
    <t>041 1 16 90050 05 0000 140</t>
  </si>
  <si>
    <t>076 1 16 90050 05 0000 140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</si>
</sst>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9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shrinkToFi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shrinkToFi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 shrinkToFit="1"/>
    </xf>
    <xf numFmtId="49" fontId="3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2"/>
  <sheetViews>
    <sheetView tabSelected="1" zoomScalePageLayoutView="0" workbookViewId="0" topLeftCell="A7">
      <selection activeCell="E217" sqref="E217"/>
    </sheetView>
  </sheetViews>
  <sheetFormatPr defaultColWidth="9.125" defaultRowHeight="12.75"/>
  <cols>
    <col min="1" max="1" width="35.125" style="2" customWidth="1"/>
    <col min="2" max="2" width="57.50390625" style="3" customWidth="1"/>
    <col min="3" max="3" width="31.125" style="3" customWidth="1"/>
    <col min="4" max="4" width="32.125" style="3" customWidth="1"/>
    <col min="5" max="5" width="19.50390625" style="5" customWidth="1"/>
    <col min="6" max="6" width="20.00390625" style="3" customWidth="1"/>
    <col min="7" max="7" width="15.125" style="3" bestFit="1" customWidth="1"/>
    <col min="8" max="8" width="14.625" style="3" customWidth="1"/>
    <col min="9" max="9" width="14.125" style="3" customWidth="1"/>
    <col min="10" max="16384" width="9.125" style="3" customWidth="1"/>
  </cols>
  <sheetData>
    <row r="1" spans="4:6" ht="18">
      <c r="D1" s="47" t="s">
        <v>348</v>
      </c>
      <c r="E1" s="47"/>
      <c r="F1" s="47"/>
    </row>
    <row r="2" spans="4:6" ht="18">
      <c r="D2" s="47" t="s">
        <v>66</v>
      </c>
      <c r="E2" s="47"/>
      <c r="F2" s="47"/>
    </row>
    <row r="3" spans="4:6" ht="18">
      <c r="D3" s="47" t="s">
        <v>67</v>
      </c>
      <c r="E3" s="47"/>
      <c r="F3" s="47"/>
    </row>
    <row r="4" spans="4:6" ht="18">
      <c r="D4" s="47" t="s">
        <v>349</v>
      </c>
      <c r="E4" s="47"/>
      <c r="F4" s="47"/>
    </row>
    <row r="5" spans="4:6" ht="18">
      <c r="D5" s="47" t="s">
        <v>350</v>
      </c>
      <c r="E5" s="47"/>
      <c r="F5" s="47"/>
    </row>
    <row r="6" spans="4:6" ht="18">
      <c r="D6" s="47" t="s">
        <v>351</v>
      </c>
      <c r="E6" s="47"/>
      <c r="F6" s="47"/>
    </row>
    <row r="7" spans="4:6" ht="18">
      <c r="D7" s="47" t="s">
        <v>352</v>
      </c>
      <c r="E7" s="47"/>
      <c r="F7" s="47"/>
    </row>
    <row r="8" spans="4:6" ht="18">
      <c r="D8" s="47" t="s">
        <v>354</v>
      </c>
      <c r="E8" s="47"/>
      <c r="F8" s="47"/>
    </row>
    <row r="9" ht="18">
      <c r="D9" s="4"/>
    </row>
    <row r="10" ht="18">
      <c r="F10" s="4"/>
    </row>
    <row r="12" spans="1:6" ht="40.5" customHeight="1">
      <c r="A12" s="54" t="s">
        <v>353</v>
      </c>
      <c r="B12" s="54"/>
      <c r="C12" s="54"/>
      <c r="D12" s="54"/>
      <c r="E12" s="54"/>
      <c r="F12" s="54"/>
    </row>
    <row r="13" spans="1:6" ht="40.5" customHeight="1">
      <c r="A13" s="48" t="s">
        <v>64</v>
      </c>
      <c r="B13" s="48" t="s">
        <v>65</v>
      </c>
      <c r="C13" s="45" t="s">
        <v>362</v>
      </c>
      <c r="D13" s="46"/>
      <c r="E13" s="55" t="s">
        <v>363</v>
      </c>
      <c r="F13" s="55" t="s">
        <v>364</v>
      </c>
    </row>
    <row r="14" spans="1:6" ht="18.75" customHeight="1">
      <c r="A14" s="49"/>
      <c r="B14" s="49"/>
      <c r="C14" s="51" t="s">
        <v>365</v>
      </c>
      <c r="D14" s="51" t="s">
        <v>366</v>
      </c>
      <c r="E14" s="56"/>
      <c r="F14" s="56"/>
    </row>
    <row r="15" spans="1:6" ht="18" customHeight="1">
      <c r="A15" s="49"/>
      <c r="B15" s="49"/>
      <c r="C15" s="51"/>
      <c r="D15" s="51"/>
      <c r="E15" s="56"/>
      <c r="F15" s="56"/>
    </row>
    <row r="16" spans="1:6" ht="160.5" customHeight="1">
      <c r="A16" s="50"/>
      <c r="B16" s="50"/>
      <c r="C16" s="51"/>
      <c r="D16" s="51"/>
      <c r="E16" s="57"/>
      <c r="F16" s="57"/>
    </row>
    <row r="17" spans="1:6" ht="18">
      <c r="A17" s="19">
        <v>1</v>
      </c>
      <c r="B17" s="19">
        <v>2</v>
      </c>
      <c r="C17" s="41">
        <v>3</v>
      </c>
      <c r="D17" s="38">
        <v>4</v>
      </c>
      <c r="E17" s="39">
        <v>5</v>
      </c>
      <c r="F17" s="39">
        <v>6</v>
      </c>
    </row>
    <row r="18" spans="1:6" ht="18">
      <c r="A18" s="21" t="s">
        <v>10</v>
      </c>
      <c r="B18" s="22" t="s">
        <v>168</v>
      </c>
      <c r="C18" s="11">
        <f>C19+C29+C43+C56+C64+C71+C91+C102+C115+C129+C162</f>
        <v>64748623.6</v>
      </c>
      <c r="D18" s="11">
        <f>D19+D29+D43+D56++D71+D91+D102+D115+D129+D64+D162</f>
        <v>64773048.56999999</v>
      </c>
      <c r="E18" s="11">
        <f>E19+E29+E43+E56++E71+E91+E102+E115+E129+E64+E162</f>
        <v>68038578.99000001</v>
      </c>
      <c r="F18" s="11">
        <f>SUM(E18/D18*100)</f>
        <v>105.04149564069225</v>
      </c>
    </row>
    <row r="19" spans="1:6" ht="18">
      <c r="A19" s="21" t="s">
        <v>11</v>
      </c>
      <c r="B19" s="22" t="s">
        <v>12</v>
      </c>
      <c r="C19" s="11">
        <f>C20</f>
        <v>49767723.6</v>
      </c>
      <c r="D19" s="11">
        <f>D20</f>
        <v>49427264.89</v>
      </c>
      <c r="E19" s="11">
        <f>E20</f>
        <v>52086427.74</v>
      </c>
      <c r="F19" s="11">
        <f aca="true" t="shared" si="0" ref="F19:F82">SUM(E19/D19*100)</f>
        <v>105.37995144161417</v>
      </c>
    </row>
    <row r="20" spans="1:6" ht="18">
      <c r="A20" s="23" t="s">
        <v>13</v>
      </c>
      <c r="B20" s="24" t="s">
        <v>14</v>
      </c>
      <c r="C20" s="12">
        <f>C21+C23+C25+C27</f>
        <v>49767723.6</v>
      </c>
      <c r="D20" s="12">
        <f>D21+D23+D27+D25</f>
        <v>49427264.89</v>
      </c>
      <c r="E20" s="12">
        <f>E21+E23+E27+E25</f>
        <v>52086427.74</v>
      </c>
      <c r="F20" s="12">
        <f t="shared" si="0"/>
        <v>105.37995144161417</v>
      </c>
    </row>
    <row r="21" spans="1:6" ht="108">
      <c r="A21" s="23" t="s">
        <v>88</v>
      </c>
      <c r="B21" s="25" t="s">
        <v>76</v>
      </c>
      <c r="C21" s="12">
        <f>C22</f>
        <v>49153723.6</v>
      </c>
      <c r="D21" s="13">
        <f>D22</f>
        <v>48858264.89</v>
      </c>
      <c r="E21" s="13">
        <f>E22</f>
        <v>51555103.18</v>
      </c>
      <c r="F21" s="12">
        <f t="shared" si="0"/>
        <v>105.51971768967172</v>
      </c>
    </row>
    <row r="22" spans="1:6" ht="108">
      <c r="A22" s="23" t="s">
        <v>15</v>
      </c>
      <c r="B22" s="25" t="s">
        <v>76</v>
      </c>
      <c r="C22" s="12">
        <v>49153723.6</v>
      </c>
      <c r="D22" s="13">
        <f>48515000+364123.6+246600+28000-48500-180958.17-66000.54</f>
        <v>48858264.89</v>
      </c>
      <c r="E22" s="13">
        <v>51555103.18</v>
      </c>
      <c r="F22" s="12">
        <f t="shared" si="0"/>
        <v>105.51971768967172</v>
      </c>
    </row>
    <row r="23" spans="1:6" ht="162">
      <c r="A23" s="23" t="s">
        <v>89</v>
      </c>
      <c r="B23" s="25" t="s">
        <v>17</v>
      </c>
      <c r="C23" s="12">
        <f>C24</f>
        <v>270000</v>
      </c>
      <c r="D23" s="13">
        <f>D24</f>
        <v>160000</v>
      </c>
      <c r="E23" s="13">
        <f>E24</f>
        <v>128708.86</v>
      </c>
      <c r="F23" s="12">
        <f t="shared" si="0"/>
        <v>80.4430375</v>
      </c>
    </row>
    <row r="24" spans="1:6" ht="162">
      <c r="A24" s="23" t="s">
        <v>16</v>
      </c>
      <c r="B24" s="25" t="s">
        <v>17</v>
      </c>
      <c r="C24" s="12">
        <v>270000</v>
      </c>
      <c r="D24" s="13">
        <f>270000-110000</f>
        <v>160000</v>
      </c>
      <c r="E24" s="13">
        <v>128708.86</v>
      </c>
      <c r="F24" s="12">
        <f t="shared" si="0"/>
        <v>80.4430375</v>
      </c>
    </row>
    <row r="25" spans="1:6" ht="72">
      <c r="A25" s="23" t="s">
        <v>90</v>
      </c>
      <c r="B25" s="24" t="s">
        <v>70</v>
      </c>
      <c r="C25" s="12">
        <f>C26</f>
        <v>113000</v>
      </c>
      <c r="D25" s="14">
        <f>D26</f>
        <v>258595</v>
      </c>
      <c r="E25" s="14">
        <f>E26</f>
        <v>265752.7</v>
      </c>
      <c r="F25" s="12">
        <f t="shared" si="0"/>
        <v>102.76791894661537</v>
      </c>
    </row>
    <row r="26" spans="1:6" ht="72">
      <c r="A26" s="23" t="s">
        <v>18</v>
      </c>
      <c r="B26" s="24" t="s">
        <v>70</v>
      </c>
      <c r="C26" s="12">
        <v>113000</v>
      </c>
      <c r="D26" s="14">
        <f>113000+80595+65000</f>
        <v>258595</v>
      </c>
      <c r="E26" s="14">
        <v>265752.7</v>
      </c>
      <c r="F26" s="12">
        <f t="shared" si="0"/>
        <v>102.76791894661537</v>
      </c>
    </row>
    <row r="27" spans="1:6" ht="144">
      <c r="A27" s="23" t="s">
        <v>91</v>
      </c>
      <c r="B27" s="25" t="s">
        <v>148</v>
      </c>
      <c r="C27" s="12">
        <f>C28</f>
        <v>231000</v>
      </c>
      <c r="D27" s="14">
        <f>D28</f>
        <v>150405</v>
      </c>
      <c r="E27" s="14">
        <f>E28</f>
        <v>136863</v>
      </c>
      <c r="F27" s="12">
        <f t="shared" si="0"/>
        <v>90.99630996309963</v>
      </c>
    </row>
    <row r="28" spans="1:6" ht="144">
      <c r="A28" s="23" t="s">
        <v>19</v>
      </c>
      <c r="B28" s="25" t="s">
        <v>148</v>
      </c>
      <c r="C28" s="12">
        <v>231000</v>
      </c>
      <c r="D28" s="14">
        <f>231000-80595</f>
        <v>150405</v>
      </c>
      <c r="E28" s="14">
        <v>136863</v>
      </c>
      <c r="F28" s="12">
        <f t="shared" si="0"/>
        <v>90.99630996309963</v>
      </c>
    </row>
    <row r="29" spans="1:6" s="6" customFormat="1" ht="51.75">
      <c r="A29" s="26" t="s">
        <v>68</v>
      </c>
      <c r="B29" s="27" t="s">
        <v>77</v>
      </c>
      <c r="C29" s="11">
        <f>C30</f>
        <v>4360000</v>
      </c>
      <c r="D29" s="15">
        <f>D30</f>
        <v>4584000</v>
      </c>
      <c r="E29" s="15">
        <f>E30</f>
        <v>4903410.66</v>
      </c>
      <c r="F29" s="11">
        <f t="shared" si="0"/>
        <v>106.96794633507854</v>
      </c>
    </row>
    <row r="30" spans="1:6" ht="54">
      <c r="A30" s="28" t="s">
        <v>69</v>
      </c>
      <c r="B30" s="29" t="s">
        <v>78</v>
      </c>
      <c r="C30" s="12">
        <f>C31+C34+C37+C40</f>
        <v>4360000</v>
      </c>
      <c r="D30" s="14">
        <f>D31+D34+D37+D40</f>
        <v>4584000</v>
      </c>
      <c r="E30" s="14">
        <f>E31+E34+E37+E40</f>
        <v>4903410.66</v>
      </c>
      <c r="F30" s="12">
        <f t="shared" si="0"/>
        <v>106.96794633507854</v>
      </c>
    </row>
    <row r="31" spans="1:6" ht="126">
      <c r="A31" s="28" t="s">
        <v>94</v>
      </c>
      <c r="B31" s="25" t="s">
        <v>247</v>
      </c>
      <c r="C31" s="12">
        <f aca="true" t="shared" si="1" ref="C31:E32">C32</f>
        <v>1513000</v>
      </c>
      <c r="D31" s="14">
        <f t="shared" si="1"/>
        <v>2048077.77</v>
      </c>
      <c r="E31" s="14">
        <f t="shared" si="1"/>
        <v>2231949.95</v>
      </c>
      <c r="F31" s="12">
        <f t="shared" si="0"/>
        <v>108.97779286965262</v>
      </c>
    </row>
    <row r="32" spans="1:6" ht="198">
      <c r="A32" s="30" t="s">
        <v>248</v>
      </c>
      <c r="B32" s="25" t="s">
        <v>250</v>
      </c>
      <c r="C32" s="12">
        <f t="shared" si="1"/>
        <v>1513000</v>
      </c>
      <c r="D32" s="14">
        <f t="shared" si="1"/>
        <v>2048077.77</v>
      </c>
      <c r="E32" s="14">
        <f t="shared" si="1"/>
        <v>2231949.95</v>
      </c>
      <c r="F32" s="12">
        <f t="shared" si="0"/>
        <v>108.97779286965262</v>
      </c>
    </row>
    <row r="33" spans="1:6" ht="198">
      <c r="A33" s="28" t="s">
        <v>249</v>
      </c>
      <c r="B33" s="25" t="s">
        <v>250</v>
      </c>
      <c r="C33" s="12">
        <v>1513000</v>
      </c>
      <c r="D33" s="14">
        <f>1513000+145077.77+390000</f>
        <v>2048077.77</v>
      </c>
      <c r="E33" s="14">
        <v>2231949.95</v>
      </c>
      <c r="F33" s="12">
        <f t="shared" si="0"/>
        <v>108.97779286965262</v>
      </c>
    </row>
    <row r="34" spans="1:6" ht="141.75" customHeight="1">
      <c r="A34" s="28" t="s">
        <v>93</v>
      </c>
      <c r="B34" s="25" t="s">
        <v>251</v>
      </c>
      <c r="C34" s="12">
        <f aca="true" t="shared" si="2" ref="C34:E35">C35</f>
        <v>18000</v>
      </c>
      <c r="D34" s="14">
        <f t="shared" si="2"/>
        <v>16000</v>
      </c>
      <c r="E34" s="14">
        <f t="shared" si="2"/>
        <v>16405.4</v>
      </c>
      <c r="F34" s="12">
        <f t="shared" si="0"/>
        <v>102.53375</v>
      </c>
    </row>
    <row r="35" spans="1:6" ht="216">
      <c r="A35" s="28" t="s">
        <v>253</v>
      </c>
      <c r="B35" s="25" t="s">
        <v>254</v>
      </c>
      <c r="C35" s="12">
        <f t="shared" si="2"/>
        <v>18000</v>
      </c>
      <c r="D35" s="14">
        <f t="shared" si="2"/>
        <v>16000</v>
      </c>
      <c r="E35" s="14">
        <f t="shared" si="2"/>
        <v>16405.4</v>
      </c>
      <c r="F35" s="12">
        <f t="shared" si="0"/>
        <v>102.53375</v>
      </c>
    </row>
    <row r="36" spans="1:6" ht="213" customHeight="1">
      <c r="A36" s="28" t="s">
        <v>252</v>
      </c>
      <c r="B36" s="25" t="s">
        <v>254</v>
      </c>
      <c r="C36" s="12">
        <v>18000</v>
      </c>
      <c r="D36" s="14">
        <f>18000-2000</f>
        <v>16000</v>
      </c>
      <c r="E36" s="14">
        <v>16405.4</v>
      </c>
      <c r="F36" s="12">
        <f t="shared" si="0"/>
        <v>102.53375</v>
      </c>
    </row>
    <row r="37" spans="1:6" ht="121.5" customHeight="1">
      <c r="A37" s="28" t="s">
        <v>92</v>
      </c>
      <c r="B37" s="25" t="s">
        <v>257</v>
      </c>
      <c r="C37" s="12">
        <f aca="true" t="shared" si="3" ref="C37:E38">C38</f>
        <v>2829000</v>
      </c>
      <c r="D37" s="14">
        <f t="shared" si="3"/>
        <v>2829000</v>
      </c>
      <c r="E37" s="14">
        <f t="shared" si="3"/>
        <v>2981892.72</v>
      </c>
      <c r="F37" s="12">
        <f t="shared" si="0"/>
        <v>105.40447932131497</v>
      </c>
    </row>
    <row r="38" spans="1:6" ht="190.5" customHeight="1">
      <c r="A38" s="28" t="s">
        <v>255</v>
      </c>
      <c r="B38" s="25" t="s">
        <v>258</v>
      </c>
      <c r="C38" s="12">
        <f t="shared" si="3"/>
        <v>2829000</v>
      </c>
      <c r="D38" s="14">
        <f t="shared" si="3"/>
        <v>2829000</v>
      </c>
      <c r="E38" s="14">
        <f t="shared" si="3"/>
        <v>2981892.72</v>
      </c>
      <c r="F38" s="12">
        <f t="shared" si="0"/>
        <v>105.40447932131497</v>
      </c>
    </row>
    <row r="39" spans="1:6" ht="180">
      <c r="A39" s="28" t="s">
        <v>256</v>
      </c>
      <c r="B39" s="25" t="s">
        <v>263</v>
      </c>
      <c r="C39" s="12">
        <v>2829000</v>
      </c>
      <c r="D39" s="14">
        <v>2829000</v>
      </c>
      <c r="E39" s="14">
        <v>2981892.72</v>
      </c>
      <c r="F39" s="12">
        <f t="shared" si="0"/>
        <v>105.40447932131497</v>
      </c>
    </row>
    <row r="40" spans="1:6" ht="126">
      <c r="A40" s="28" t="s">
        <v>197</v>
      </c>
      <c r="B40" s="25" t="s">
        <v>261</v>
      </c>
      <c r="C40" s="12">
        <f aca="true" t="shared" si="4" ref="C40:E41">C41</f>
        <v>0</v>
      </c>
      <c r="D40" s="14">
        <f t="shared" si="4"/>
        <v>-309077.77</v>
      </c>
      <c r="E40" s="14">
        <f t="shared" si="4"/>
        <v>-326837.41</v>
      </c>
      <c r="F40" s="12">
        <f t="shared" si="0"/>
        <v>105.74601013848391</v>
      </c>
    </row>
    <row r="41" spans="1:6" ht="192.75" customHeight="1">
      <c r="A41" s="28" t="s">
        <v>259</v>
      </c>
      <c r="B41" s="25" t="s">
        <v>262</v>
      </c>
      <c r="C41" s="12">
        <f t="shared" si="4"/>
        <v>0</v>
      </c>
      <c r="D41" s="14">
        <f t="shared" si="4"/>
        <v>-309077.77</v>
      </c>
      <c r="E41" s="14">
        <f t="shared" si="4"/>
        <v>-326837.41</v>
      </c>
      <c r="F41" s="12">
        <f t="shared" si="0"/>
        <v>105.74601013848391</v>
      </c>
    </row>
    <row r="42" spans="1:6" ht="198">
      <c r="A42" s="28" t="s">
        <v>260</v>
      </c>
      <c r="B42" s="25" t="s">
        <v>262</v>
      </c>
      <c r="C42" s="12">
        <v>0</v>
      </c>
      <c r="D42" s="14">
        <f>-145077.77-164000</f>
        <v>-309077.77</v>
      </c>
      <c r="E42" s="14">
        <v>-326837.41</v>
      </c>
      <c r="F42" s="12">
        <f t="shared" si="0"/>
        <v>105.74601013848391</v>
      </c>
    </row>
    <row r="43" spans="1:6" ht="18">
      <c r="A43" s="21" t="s">
        <v>20</v>
      </c>
      <c r="B43" s="31" t="s">
        <v>149</v>
      </c>
      <c r="C43" s="11">
        <f>C44+C49+C52</f>
        <v>5743000</v>
      </c>
      <c r="D43" s="11">
        <f>D44+D49+D52</f>
        <v>4417931.3</v>
      </c>
      <c r="E43" s="11">
        <f>E44+E49+E52</f>
        <v>4383590.34</v>
      </c>
      <c r="F43" s="12">
        <f t="shared" si="0"/>
        <v>99.2226913985738</v>
      </c>
    </row>
    <row r="44" spans="1:6" ht="36">
      <c r="A44" s="23" t="s">
        <v>71</v>
      </c>
      <c r="B44" s="24" t="s">
        <v>150</v>
      </c>
      <c r="C44" s="12">
        <f>C45+C47</f>
        <v>5641000</v>
      </c>
      <c r="D44" s="12">
        <f>D45+D47</f>
        <v>4296931.3</v>
      </c>
      <c r="E44" s="12">
        <f>E45+E47</f>
        <v>4208931</v>
      </c>
      <c r="F44" s="12">
        <f t="shared" si="0"/>
        <v>97.9520198519348</v>
      </c>
    </row>
    <row r="45" spans="1:6" ht="36">
      <c r="A45" s="23" t="s">
        <v>96</v>
      </c>
      <c r="B45" s="24" t="s">
        <v>151</v>
      </c>
      <c r="C45" s="12">
        <f>C46</f>
        <v>5641000</v>
      </c>
      <c r="D45" s="12">
        <f>D46</f>
        <v>4296137.4399999995</v>
      </c>
      <c r="E45" s="12">
        <f>E46</f>
        <v>4207906.43</v>
      </c>
      <c r="F45" s="12">
        <f t="shared" si="0"/>
        <v>97.94627124405964</v>
      </c>
    </row>
    <row r="46" spans="1:6" ht="36">
      <c r="A46" s="23" t="s">
        <v>21</v>
      </c>
      <c r="B46" s="24" t="s">
        <v>152</v>
      </c>
      <c r="C46" s="12">
        <v>5641000</v>
      </c>
      <c r="D46" s="12">
        <f>5641000-201000-1143862.56</f>
        <v>4296137.4399999995</v>
      </c>
      <c r="E46" s="12">
        <v>4207906.43</v>
      </c>
      <c r="F46" s="12">
        <f t="shared" si="0"/>
        <v>97.94627124405964</v>
      </c>
    </row>
    <row r="47" spans="1:6" ht="60.75" customHeight="1">
      <c r="A47" s="23" t="s">
        <v>329</v>
      </c>
      <c r="B47" s="24" t="s">
        <v>339</v>
      </c>
      <c r="C47" s="12">
        <f>C48</f>
        <v>0</v>
      </c>
      <c r="D47" s="12">
        <f>D48</f>
        <v>793.86</v>
      </c>
      <c r="E47" s="12">
        <f>E48</f>
        <v>1024.57</v>
      </c>
      <c r="F47" s="12">
        <f t="shared" si="0"/>
        <v>129.06179930970197</v>
      </c>
    </row>
    <row r="48" spans="1:6" ht="63.75" customHeight="1">
      <c r="A48" s="23" t="s">
        <v>330</v>
      </c>
      <c r="B48" s="24" t="s">
        <v>339</v>
      </c>
      <c r="C48" s="12">
        <v>0</v>
      </c>
      <c r="D48" s="12">
        <v>793.86</v>
      </c>
      <c r="E48" s="12">
        <v>1024.57</v>
      </c>
      <c r="F48" s="12">
        <f t="shared" si="0"/>
        <v>129.06179930970197</v>
      </c>
    </row>
    <row r="49" spans="1:6" ht="18">
      <c r="A49" s="23" t="s">
        <v>72</v>
      </c>
      <c r="B49" s="24" t="s">
        <v>23</v>
      </c>
      <c r="C49" s="12">
        <f aca="true" t="shared" si="5" ref="C49:E50">C50</f>
        <v>12000</v>
      </c>
      <c r="D49" s="12">
        <f t="shared" si="5"/>
        <v>2000</v>
      </c>
      <c r="E49" s="12">
        <f t="shared" si="5"/>
        <v>1638.3</v>
      </c>
      <c r="F49" s="12">
        <f t="shared" si="0"/>
        <v>81.91499999999999</v>
      </c>
    </row>
    <row r="50" spans="1:6" ht="18">
      <c r="A50" s="23" t="s">
        <v>107</v>
      </c>
      <c r="B50" s="24" t="s">
        <v>23</v>
      </c>
      <c r="C50" s="12">
        <f t="shared" si="5"/>
        <v>12000</v>
      </c>
      <c r="D50" s="12">
        <f t="shared" si="5"/>
        <v>2000</v>
      </c>
      <c r="E50" s="12">
        <f t="shared" si="5"/>
        <v>1638.3</v>
      </c>
      <c r="F50" s="12">
        <f t="shared" si="0"/>
        <v>81.91499999999999</v>
      </c>
    </row>
    <row r="51" spans="1:6" ht="18">
      <c r="A51" s="23" t="s">
        <v>22</v>
      </c>
      <c r="B51" s="24" t="s">
        <v>23</v>
      </c>
      <c r="C51" s="12">
        <v>12000</v>
      </c>
      <c r="D51" s="12">
        <f>12000-5000-5000</f>
        <v>2000</v>
      </c>
      <c r="E51" s="12">
        <v>1638.3</v>
      </c>
      <c r="F51" s="12">
        <f t="shared" si="0"/>
        <v>81.91499999999999</v>
      </c>
    </row>
    <row r="52" spans="1:6" ht="36">
      <c r="A52" s="23" t="s">
        <v>128</v>
      </c>
      <c r="B52" s="29" t="s">
        <v>129</v>
      </c>
      <c r="C52" s="12">
        <f aca="true" t="shared" si="6" ref="C52:E53">C53</f>
        <v>90000</v>
      </c>
      <c r="D52" s="12">
        <f t="shared" si="6"/>
        <v>119000</v>
      </c>
      <c r="E52" s="12">
        <f t="shared" si="6"/>
        <v>173021.04</v>
      </c>
      <c r="F52" s="12">
        <f t="shared" si="0"/>
        <v>145.39583193277312</v>
      </c>
    </row>
    <row r="53" spans="1:6" ht="54">
      <c r="A53" s="23" t="s">
        <v>146</v>
      </c>
      <c r="B53" s="29" t="s">
        <v>153</v>
      </c>
      <c r="C53" s="12">
        <f t="shared" si="6"/>
        <v>90000</v>
      </c>
      <c r="D53" s="12">
        <f t="shared" si="6"/>
        <v>119000</v>
      </c>
      <c r="E53" s="12">
        <f t="shared" si="6"/>
        <v>173021.04</v>
      </c>
      <c r="F53" s="12">
        <f t="shared" si="0"/>
        <v>145.39583193277312</v>
      </c>
    </row>
    <row r="54" spans="1:6" ht="54">
      <c r="A54" s="23" t="s">
        <v>147</v>
      </c>
      <c r="B54" s="29" t="s">
        <v>154</v>
      </c>
      <c r="C54" s="12">
        <v>90000</v>
      </c>
      <c r="D54" s="12">
        <f>90000+5000+24000</f>
        <v>119000</v>
      </c>
      <c r="E54" s="12">
        <v>173021.04</v>
      </c>
      <c r="F54" s="12">
        <f t="shared" si="0"/>
        <v>145.39583193277312</v>
      </c>
    </row>
    <row r="55" spans="1:6" ht="18" hidden="1">
      <c r="A55" s="21" t="s">
        <v>130</v>
      </c>
      <c r="B55" s="31" t="s">
        <v>131</v>
      </c>
      <c r="C55" s="11"/>
      <c r="D55" s="11">
        <v>0</v>
      </c>
      <c r="E55" s="11">
        <v>0</v>
      </c>
      <c r="F55" s="12" t="e">
        <f t="shared" si="0"/>
        <v>#DIV/0!</v>
      </c>
    </row>
    <row r="56" spans="1:6" ht="18">
      <c r="A56" s="21" t="s">
        <v>24</v>
      </c>
      <c r="B56" s="31" t="s">
        <v>155</v>
      </c>
      <c r="C56" s="11">
        <f>C57+C60</f>
        <v>1110000</v>
      </c>
      <c r="D56" s="11">
        <f>D59+D62</f>
        <v>1110000</v>
      </c>
      <c r="E56" s="11">
        <f>E59+E62</f>
        <v>1148495.39</v>
      </c>
      <c r="F56" s="11">
        <f t="shared" si="0"/>
        <v>103.46805315315315</v>
      </c>
    </row>
    <row r="57" spans="1:6" ht="54">
      <c r="A57" s="23" t="s">
        <v>95</v>
      </c>
      <c r="B57" s="24" t="s">
        <v>156</v>
      </c>
      <c r="C57" s="12">
        <f aca="true" t="shared" si="7" ref="C57:E58">C58</f>
        <v>1100000</v>
      </c>
      <c r="D57" s="13">
        <f t="shared" si="7"/>
        <v>1100000</v>
      </c>
      <c r="E57" s="13">
        <f t="shared" si="7"/>
        <v>1138495.39</v>
      </c>
      <c r="F57" s="12">
        <f t="shared" si="0"/>
        <v>103.49958090909091</v>
      </c>
    </row>
    <row r="58" spans="1:6" ht="72">
      <c r="A58" s="23" t="s">
        <v>97</v>
      </c>
      <c r="B58" s="25" t="s">
        <v>157</v>
      </c>
      <c r="C58" s="12">
        <f t="shared" si="7"/>
        <v>1100000</v>
      </c>
      <c r="D58" s="13">
        <f t="shared" si="7"/>
        <v>1100000</v>
      </c>
      <c r="E58" s="13">
        <f t="shared" si="7"/>
        <v>1138495.39</v>
      </c>
      <c r="F58" s="12">
        <f t="shared" si="0"/>
        <v>103.49958090909091</v>
      </c>
    </row>
    <row r="59" spans="1:6" ht="72">
      <c r="A59" s="23" t="s">
        <v>25</v>
      </c>
      <c r="B59" s="25" t="s">
        <v>158</v>
      </c>
      <c r="C59" s="12">
        <v>1100000</v>
      </c>
      <c r="D59" s="13">
        <v>1100000</v>
      </c>
      <c r="E59" s="13">
        <v>1138495.39</v>
      </c>
      <c r="F59" s="12">
        <f t="shared" si="0"/>
        <v>103.49958090909091</v>
      </c>
    </row>
    <row r="60" spans="1:6" ht="54">
      <c r="A60" s="23" t="s">
        <v>26</v>
      </c>
      <c r="B60" s="24" t="s">
        <v>79</v>
      </c>
      <c r="C60" s="12">
        <f aca="true" t="shared" si="8" ref="C60:E61">C61</f>
        <v>10000</v>
      </c>
      <c r="D60" s="14">
        <f t="shared" si="8"/>
        <v>10000</v>
      </c>
      <c r="E60" s="14">
        <f t="shared" si="8"/>
        <v>10000</v>
      </c>
      <c r="F60" s="12">
        <f t="shared" si="0"/>
        <v>100</v>
      </c>
    </row>
    <row r="61" spans="1:6" ht="36">
      <c r="A61" s="23" t="s">
        <v>98</v>
      </c>
      <c r="B61" s="25" t="s">
        <v>112</v>
      </c>
      <c r="C61" s="12">
        <f t="shared" si="8"/>
        <v>10000</v>
      </c>
      <c r="D61" s="14">
        <f t="shared" si="8"/>
        <v>10000</v>
      </c>
      <c r="E61" s="14">
        <f t="shared" si="8"/>
        <v>10000</v>
      </c>
      <c r="F61" s="12">
        <f t="shared" si="0"/>
        <v>100</v>
      </c>
    </row>
    <row r="62" spans="1:6" ht="55.5" customHeight="1">
      <c r="A62" s="23" t="s">
        <v>126</v>
      </c>
      <c r="B62" s="25" t="s">
        <v>112</v>
      </c>
      <c r="C62" s="12">
        <v>10000</v>
      </c>
      <c r="D62" s="14">
        <v>10000</v>
      </c>
      <c r="E62" s="32">
        <v>10000</v>
      </c>
      <c r="F62" s="12">
        <f t="shared" si="0"/>
        <v>100</v>
      </c>
    </row>
    <row r="63" spans="1:6" ht="51.75" hidden="1">
      <c r="A63" s="21" t="s">
        <v>132</v>
      </c>
      <c r="B63" s="33" t="s">
        <v>133</v>
      </c>
      <c r="C63" s="11"/>
      <c r="D63" s="15">
        <v>0</v>
      </c>
      <c r="E63" s="15">
        <v>0</v>
      </c>
      <c r="F63" s="12" t="e">
        <f t="shared" si="0"/>
        <v>#DIV/0!</v>
      </c>
    </row>
    <row r="64" spans="1:6" ht="60.75" customHeight="1">
      <c r="A64" s="21" t="s">
        <v>275</v>
      </c>
      <c r="B64" s="40" t="s">
        <v>276</v>
      </c>
      <c r="C64" s="11">
        <f>C65+C68</f>
        <v>0</v>
      </c>
      <c r="D64" s="15">
        <f>D65+D68</f>
        <v>373.72</v>
      </c>
      <c r="E64" s="15">
        <f>E65</f>
        <v>373.72</v>
      </c>
      <c r="F64" s="11">
        <f t="shared" si="0"/>
        <v>100</v>
      </c>
    </row>
    <row r="65" spans="1:6" ht="45" customHeight="1">
      <c r="A65" s="23" t="s">
        <v>277</v>
      </c>
      <c r="B65" s="25" t="s">
        <v>278</v>
      </c>
      <c r="C65" s="12">
        <f>C66</f>
        <v>0</v>
      </c>
      <c r="D65" s="14">
        <f>D66</f>
        <v>300.25</v>
      </c>
      <c r="E65" s="14">
        <f>E66+E68</f>
        <v>373.72</v>
      </c>
      <c r="F65" s="12">
        <f t="shared" si="0"/>
        <v>124.46960865945047</v>
      </c>
    </row>
    <row r="66" spans="1:6" ht="76.5" customHeight="1">
      <c r="A66" s="23" t="s">
        <v>279</v>
      </c>
      <c r="B66" s="25" t="s">
        <v>280</v>
      </c>
      <c r="C66" s="12">
        <f>C67</f>
        <v>0</v>
      </c>
      <c r="D66" s="14">
        <f>D67</f>
        <v>300.25</v>
      </c>
      <c r="E66" s="14">
        <f>E67</f>
        <v>300.25</v>
      </c>
      <c r="F66" s="12">
        <f t="shared" si="0"/>
        <v>100</v>
      </c>
    </row>
    <row r="67" spans="1:6" ht="90">
      <c r="A67" s="23" t="s">
        <v>281</v>
      </c>
      <c r="B67" s="25" t="s">
        <v>280</v>
      </c>
      <c r="C67" s="12">
        <v>0</v>
      </c>
      <c r="D67" s="14">
        <v>300.25</v>
      </c>
      <c r="E67" s="14">
        <v>300.25</v>
      </c>
      <c r="F67" s="12">
        <f t="shared" si="0"/>
        <v>100</v>
      </c>
    </row>
    <row r="68" spans="1:6" ht="60" customHeight="1">
      <c r="A68" s="23" t="s">
        <v>282</v>
      </c>
      <c r="B68" s="25" t="s">
        <v>283</v>
      </c>
      <c r="C68" s="12">
        <f aca="true" t="shared" si="9" ref="C68:E69">C69</f>
        <v>0</v>
      </c>
      <c r="D68" s="14">
        <f t="shared" si="9"/>
        <v>73.47</v>
      </c>
      <c r="E68" s="14">
        <f t="shared" si="9"/>
        <v>73.47</v>
      </c>
      <c r="F68" s="12">
        <f t="shared" si="0"/>
        <v>100</v>
      </c>
    </row>
    <row r="69" spans="1:6" ht="24.75" customHeight="1">
      <c r="A69" s="23" t="s">
        <v>284</v>
      </c>
      <c r="B69" s="25" t="s">
        <v>285</v>
      </c>
      <c r="C69" s="12">
        <f t="shared" si="9"/>
        <v>0</v>
      </c>
      <c r="D69" s="14">
        <f t="shared" si="9"/>
        <v>73.47</v>
      </c>
      <c r="E69" s="14">
        <f t="shared" si="9"/>
        <v>73.47</v>
      </c>
      <c r="F69" s="12">
        <f t="shared" si="0"/>
        <v>100</v>
      </c>
    </row>
    <row r="70" spans="1:6" ht="36">
      <c r="A70" s="23" t="s">
        <v>286</v>
      </c>
      <c r="B70" s="25" t="s">
        <v>285</v>
      </c>
      <c r="C70" s="12">
        <v>0</v>
      </c>
      <c r="D70" s="14">
        <f>4.77+68.7</f>
        <v>73.47</v>
      </c>
      <c r="E70" s="14">
        <v>73.47</v>
      </c>
      <c r="F70" s="12">
        <f t="shared" si="0"/>
        <v>100</v>
      </c>
    </row>
    <row r="71" spans="1:9" ht="69">
      <c r="A71" s="21" t="s">
        <v>27</v>
      </c>
      <c r="B71" s="22" t="s">
        <v>159</v>
      </c>
      <c r="C71" s="11">
        <f>C72+C75</f>
        <v>1377500</v>
      </c>
      <c r="D71" s="11">
        <f>D75+D72+D87</f>
        <v>2938485.2600000002</v>
      </c>
      <c r="E71" s="11">
        <f>E75+E72+E87</f>
        <v>3166015.2099999995</v>
      </c>
      <c r="F71" s="11">
        <f t="shared" si="0"/>
        <v>107.74310332936633</v>
      </c>
      <c r="G71" s="7"/>
      <c r="H71" s="7"/>
      <c r="I71" s="7"/>
    </row>
    <row r="72" spans="1:9" ht="54">
      <c r="A72" s="23" t="s">
        <v>169</v>
      </c>
      <c r="B72" s="24" t="s">
        <v>171</v>
      </c>
      <c r="C72" s="12">
        <f aca="true" t="shared" si="10" ref="C72:E73">C73</f>
        <v>12000</v>
      </c>
      <c r="D72" s="12">
        <f t="shared" si="10"/>
        <v>12103.88</v>
      </c>
      <c r="E72" s="12">
        <f t="shared" si="10"/>
        <v>12103.88</v>
      </c>
      <c r="F72" s="12">
        <f t="shared" si="0"/>
        <v>100</v>
      </c>
      <c r="G72" s="7"/>
      <c r="H72" s="7"/>
      <c r="I72" s="7"/>
    </row>
    <row r="73" spans="1:9" ht="72">
      <c r="A73" s="23" t="s">
        <v>170</v>
      </c>
      <c r="B73" s="24" t="s">
        <v>172</v>
      </c>
      <c r="C73" s="12">
        <f t="shared" si="10"/>
        <v>12000</v>
      </c>
      <c r="D73" s="12">
        <f t="shared" si="10"/>
        <v>12103.88</v>
      </c>
      <c r="E73" s="12">
        <f t="shared" si="10"/>
        <v>12103.88</v>
      </c>
      <c r="F73" s="12">
        <f t="shared" si="0"/>
        <v>100</v>
      </c>
      <c r="G73" s="7"/>
      <c r="H73" s="7"/>
      <c r="I73" s="7"/>
    </row>
    <row r="74" spans="1:9" ht="72">
      <c r="A74" s="23" t="s">
        <v>173</v>
      </c>
      <c r="B74" s="24" t="s">
        <v>172</v>
      </c>
      <c r="C74" s="12">
        <v>12000</v>
      </c>
      <c r="D74" s="12">
        <f>12000+103.88</f>
        <v>12103.88</v>
      </c>
      <c r="E74" s="12">
        <v>12103.88</v>
      </c>
      <c r="F74" s="12">
        <f t="shared" si="0"/>
        <v>100</v>
      </c>
      <c r="G74" s="7"/>
      <c r="H74" s="7"/>
      <c r="I74" s="7"/>
    </row>
    <row r="75" spans="1:6" ht="126">
      <c r="A75" s="23" t="s">
        <v>28</v>
      </c>
      <c r="B75" s="25" t="s">
        <v>196</v>
      </c>
      <c r="C75" s="12">
        <f>C76+C79+C81+C84</f>
        <v>1365500</v>
      </c>
      <c r="D75" s="13">
        <f>D76+D81+D84</f>
        <v>2686381.3800000004</v>
      </c>
      <c r="E75" s="13">
        <f>E76+E81+E84</f>
        <v>2913911.3299999996</v>
      </c>
      <c r="F75" s="12">
        <f t="shared" si="0"/>
        <v>108.46975607015261</v>
      </c>
    </row>
    <row r="76" spans="1:6" ht="90">
      <c r="A76" s="23" t="s">
        <v>55</v>
      </c>
      <c r="B76" s="25" t="s">
        <v>160</v>
      </c>
      <c r="C76" s="12">
        <f>C77</f>
        <v>398500</v>
      </c>
      <c r="D76" s="14">
        <f>D79+D77</f>
        <v>2497788.35</v>
      </c>
      <c r="E76" s="14">
        <f>E79+E77</f>
        <v>2723734.3</v>
      </c>
      <c r="F76" s="12">
        <f t="shared" si="0"/>
        <v>109.04584049325075</v>
      </c>
    </row>
    <row r="77" spans="1:6" ht="162">
      <c r="A77" s="23" t="s">
        <v>174</v>
      </c>
      <c r="B77" s="25" t="s">
        <v>176</v>
      </c>
      <c r="C77" s="12">
        <f>C78</f>
        <v>398500</v>
      </c>
      <c r="D77" s="14">
        <f>D78</f>
        <v>1161335.6400000001</v>
      </c>
      <c r="E77" s="14">
        <f>E78</f>
        <v>1183963.79</v>
      </c>
      <c r="F77" s="12">
        <f t="shared" si="0"/>
        <v>101.9484591035198</v>
      </c>
    </row>
    <row r="78" spans="1:6" ht="162">
      <c r="A78" s="23" t="s">
        <v>175</v>
      </c>
      <c r="B78" s="25" t="s">
        <v>176</v>
      </c>
      <c r="C78" s="12">
        <v>398500</v>
      </c>
      <c r="D78" s="14">
        <f>248500+150000+93000+220415.04+62400+387020.6</f>
        <v>1161335.6400000001</v>
      </c>
      <c r="E78" s="14">
        <v>1183963.79</v>
      </c>
      <c r="F78" s="12">
        <f t="shared" si="0"/>
        <v>101.9484591035198</v>
      </c>
    </row>
    <row r="79" spans="1:6" ht="126">
      <c r="A79" s="23" t="s">
        <v>120</v>
      </c>
      <c r="B79" s="34" t="s">
        <v>161</v>
      </c>
      <c r="C79" s="12">
        <f>C80</f>
        <v>900000</v>
      </c>
      <c r="D79" s="14">
        <f>D80</f>
        <v>1336452.71</v>
      </c>
      <c r="E79" s="14">
        <f>E80</f>
        <v>1539770.51</v>
      </c>
      <c r="F79" s="12">
        <f t="shared" si="0"/>
        <v>115.21324312328267</v>
      </c>
    </row>
    <row r="80" spans="1:6" ht="126">
      <c r="A80" s="23" t="s">
        <v>121</v>
      </c>
      <c r="B80" s="34" t="s">
        <v>161</v>
      </c>
      <c r="C80" s="12">
        <v>900000</v>
      </c>
      <c r="D80" s="14">
        <f>900000+436452.71</f>
        <v>1336452.71</v>
      </c>
      <c r="E80" s="14">
        <v>1539770.51</v>
      </c>
      <c r="F80" s="12">
        <f t="shared" si="0"/>
        <v>115.21324312328267</v>
      </c>
    </row>
    <row r="81" spans="1:6" ht="126">
      <c r="A81" s="23" t="s">
        <v>87</v>
      </c>
      <c r="B81" s="25" t="s">
        <v>81</v>
      </c>
      <c r="C81" s="12">
        <f aca="true" t="shared" si="11" ref="C81:E82">C82</f>
        <v>50000</v>
      </c>
      <c r="D81" s="14">
        <f t="shared" si="11"/>
        <v>41896.12</v>
      </c>
      <c r="E81" s="14">
        <f t="shared" si="11"/>
        <v>39508.51</v>
      </c>
      <c r="F81" s="12">
        <f t="shared" si="0"/>
        <v>94.30111905350662</v>
      </c>
    </row>
    <row r="82" spans="1:6" ht="108">
      <c r="A82" s="23" t="s">
        <v>99</v>
      </c>
      <c r="B82" s="25" t="s">
        <v>82</v>
      </c>
      <c r="C82" s="12">
        <f t="shared" si="11"/>
        <v>50000</v>
      </c>
      <c r="D82" s="14">
        <f t="shared" si="11"/>
        <v>41896.12</v>
      </c>
      <c r="E82" s="14">
        <f t="shared" si="11"/>
        <v>39508.51</v>
      </c>
      <c r="F82" s="12">
        <f t="shared" si="0"/>
        <v>94.30111905350662</v>
      </c>
    </row>
    <row r="83" spans="1:6" ht="108">
      <c r="A83" s="23" t="s">
        <v>80</v>
      </c>
      <c r="B83" s="25" t="s">
        <v>82</v>
      </c>
      <c r="C83" s="12">
        <v>50000</v>
      </c>
      <c r="D83" s="14">
        <f>50000-103.88-5000-3000</f>
        <v>41896.12</v>
      </c>
      <c r="E83" s="14">
        <v>39508.51</v>
      </c>
      <c r="F83" s="12">
        <f aca="true" t="shared" si="12" ref="F83:F146">SUM(E83/D83*100)</f>
        <v>94.30111905350662</v>
      </c>
    </row>
    <row r="84" spans="1:6" ht="126">
      <c r="A84" s="23" t="s">
        <v>56</v>
      </c>
      <c r="B84" s="25" t="s">
        <v>162</v>
      </c>
      <c r="C84" s="12">
        <f aca="true" t="shared" si="13" ref="C84:E85">C85</f>
        <v>17000</v>
      </c>
      <c r="D84" s="16">
        <f t="shared" si="13"/>
        <v>146696.91</v>
      </c>
      <c r="E84" s="16">
        <f t="shared" si="13"/>
        <v>150668.52</v>
      </c>
      <c r="F84" s="12">
        <f t="shared" si="12"/>
        <v>102.70735763963943</v>
      </c>
    </row>
    <row r="85" spans="1:6" ht="108">
      <c r="A85" s="23" t="s">
        <v>100</v>
      </c>
      <c r="B85" s="25" t="s">
        <v>163</v>
      </c>
      <c r="C85" s="12">
        <f t="shared" si="13"/>
        <v>17000</v>
      </c>
      <c r="D85" s="16">
        <f t="shared" si="13"/>
        <v>146696.91</v>
      </c>
      <c r="E85" s="16">
        <f t="shared" si="13"/>
        <v>150668.52</v>
      </c>
      <c r="F85" s="12">
        <f t="shared" si="12"/>
        <v>102.70735763963943</v>
      </c>
    </row>
    <row r="86" spans="1:6" ht="108">
      <c r="A86" s="23" t="s">
        <v>29</v>
      </c>
      <c r="B86" s="25" t="s">
        <v>164</v>
      </c>
      <c r="C86" s="12">
        <v>17000</v>
      </c>
      <c r="D86" s="16">
        <f>17000+113000+16696.91</f>
        <v>146696.91</v>
      </c>
      <c r="E86" s="16">
        <v>150668.52</v>
      </c>
      <c r="F86" s="12">
        <f t="shared" si="12"/>
        <v>102.70735763963943</v>
      </c>
    </row>
    <row r="87" spans="1:6" ht="126">
      <c r="A87" s="23" t="s">
        <v>331</v>
      </c>
      <c r="B87" s="25" t="s">
        <v>334</v>
      </c>
      <c r="C87" s="12">
        <f>C88</f>
        <v>0</v>
      </c>
      <c r="D87" s="16">
        <f aca="true" t="shared" si="14" ref="D87:E89">D88</f>
        <v>240000</v>
      </c>
      <c r="E87" s="16">
        <f t="shared" si="14"/>
        <v>240000</v>
      </c>
      <c r="F87" s="12">
        <f t="shared" si="12"/>
        <v>100</v>
      </c>
    </row>
    <row r="88" spans="1:6" ht="126">
      <c r="A88" s="23" t="s">
        <v>335</v>
      </c>
      <c r="B88" s="25" t="s">
        <v>336</v>
      </c>
      <c r="C88" s="12">
        <f>C89</f>
        <v>0</v>
      </c>
      <c r="D88" s="16">
        <f t="shared" si="14"/>
        <v>240000</v>
      </c>
      <c r="E88" s="16">
        <f t="shared" si="14"/>
        <v>240000</v>
      </c>
      <c r="F88" s="12">
        <f t="shared" si="12"/>
        <v>100</v>
      </c>
    </row>
    <row r="89" spans="1:6" ht="144">
      <c r="A89" s="23" t="s">
        <v>332</v>
      </c>
      <c r="B89" s="25" t="s">
        <v>337</v>
      </c>
      <c r="C89" s="12">
        <f>C90</f>
        <v>0</v>
      </c>
      <c r="D89" s="16">
        <f t="shared" si="14"/>
        <v>240000</v>
      </c>
      <c r="E89" s="16">
        <f t="shared" si="14"/>
        <v>240000</v>
      </c>
      <c r="F89" s="12">
        <f t="shared" si="12"/>
        <v>100</v>
      </c>
    </row>
    <row r="90" spans="1:6" ht="126">
      <c r="A90" s="23" t="s">
        <v>333</v>
      </c>
      <c r="B90" s="25" t="s">
        <v>338</v>
      </c>
      <c r="C90" s="12">
        <v>0</v>
      </c>
      <c r="D90" s="16">
        <v>240000</v>
      </c>
      <c r="E90" s="16">
        <v>240000</v>
      </c>
      <c r="F90" s="12">
        <f t="shared" si="12"/>
        <v>100</v>
      </c>
    </row>
    <row r="91" spans="1:6" ht="34.5">
      <c r="A91" s="21" t="s">
        <v>30</v>
      </c>
      <c r="B91" s="31" t="s">
        <v>73</v>
      </c>
      <c r="C91" s="11">
        <f>C92</f>
        <v>120400</v>
      </c>
      <c r="D91" s="11">
        <f>D92</f>
        <v>189035.4</v>
      </c>
      <c r="E91" s="11">
        <f>E92</f>
        <v>188456.82</v>
      </c>
      <c r="F91" s="11">
        <f t="shared" si="12"/>
        <v>99.69393034320557</v>
      </c>
    </row>
    <row r="92" spans="1:6" ht="36">
      <c r="A92" s="23" t="s">
        <v>57</v>
      </c>
      <c r="B92" s="24" t="s">
        <v>58</v>
      </c>
      <c r="C92" s="12">
        <f>C93+C95+C97</f>
        <v>120400</v>
      </c>
      <c r="D92" s="12">
        <f>D93+D95+D97</f>
        <v>189035.4</v>
      </c>
      <c r="E92" s="12">
        <f>E93+E95+E97</f>
        <v>188456.82</v>
      </c>
      <c r="F92" s="12">
        <f t="shared" si="12"/>
        <v>99.69393034320557</v>
      </c>
    </row>
    <row r="93" spans="1:6" ht="36">
      <c r="A93" s="23" t="s">
        <v>101</v>
      </c>
      <c r="B93" s="24" t="s">
        <v>32</v>
      </c>
      <c r="C93" s="12">
        <f>C94</f>
        <v>20600</v>
      </c>
      <c r="D93" s="12">
        <f>D94</f>
        <v>17600</v>
      </c>
      <c r="E93" s="12">
        <f>E94</f>
        <v>16035.7</v>
      </c>
      <c r="F93" s="12">
        <f t="shared" si="12"/>
        <v>91.11193181818183</v>
      </c>
    </row>
    <row r="94" spans="1:6" ht="36">
      <c r="A94" s="23" t="s">
        <v>31</v>
      </c>
      <c r="B94" s="24" t="s">
        <v>32</v>
      </c>
      <c r="C94" s="12">
        <v>20600</v>
      </c>
      <c r="D94" s="12">
        <f>26000-5400-3000</f>
        <v>17600</v>
      </c>
      <c r="E94" s="12">
        <v>16035.7</v>
      </c>
      <c r="F94" s="12">
        <f t="shared" si="12"/>
        <v>91.11193181818183</v>
      </c>
    </row>
    <row r="95" spans="1:6" ht="36">
      <c r="A95" s="23" t="s">
        <v>102</v>
      </c>
      <c r="B95" s="24" t="s">
        <v>59</v>
      </c>
      <c r="C95" s="12">
        <f>C96</f>
        <v>22600</v>
      </c>
      <c r="D95" s="13">
        <f>D96</f>
        <v>6600</v>
      </c>
      <c r="E95" s="13">
        <f>E96</f>
        <v>5131.2</v>
      </c>
      <c r="F95" s="12">
        <f t="shared" si="12"/>
        <v>77.74545454545454</v>
      </c>
    </row>
    <row r="96" spans="1:6" ht="36">
      <c r="A96" s="23" t="s">
        <v>33</v>
      </c>
      <c r="B96" s="24" t="s">
        <v>59</v>
      </c>
      <c r="C96" s="12">
        <v>22600</v>
      </c>
      <c r="D96" s="13">
        <f>25000-2400-5000-11000</f>
        <v>6600</v>
      </c>
      <c r="E96" s="16">
        <v>5131.2</v>
      </c>
      <c r="F96" s="12">
        <f t="shared" si="12"/>
        <v>77.74545454545454</v>
      </c>
    </row>
    <row r="97" spans="1:6" ht="36">
      <c r="A97" s="23" t="s">
        <v>103</v>
      </c>
      <c r="B97" s="24" t="s">
        <v>34</v>
      </c>
      <c r="C97" s="12">
        <f>C98+C100</f>
        <v>77200</v>
      </c>
      <c r="D97" s="13">
        <f>D98+D100</f>
        <v>164835.4</v>
      </c>
      <c r="E97" s="13">
        <f>E98+E100</f>
        <v>167289.92</v>
      </c>
      <c r="F97" s="12">
        <f t="shared" si="12"/>
        <v>101.48907334225538</v>
      </c>
    </row>
    <row r="98" spans="1:6" ht="18">
      <c r="A98" s="23" t="s">
        <v>231</v>
      </c>
      <c r="B98" s="24" t="s">
        <v>233</v>
      </c>
      <c r="C98" s="12">
        <f>C99</f>
        <v>77200</v>
      </c>
      <c r="D98" s="13">
        <f>D99</f>
        <v>157200</v>
      </c>
      <c r="E98" s="13">
        <f>E99</f>
        <v>167289.92</v>
      </c>
      <c r="F98" s="12">
        <f t="shared" si="12"/>
        <v>106.41852417302799</v>
      </c>
    </row>
    <row r="99" spans="1:6" ht="18">
      <c r="A99" s="23" t="s">
        <v>232</v>
      </c>
      <c r="B99" s="24" t="s">
        <v>233</v>
      </c>
      <c r="C99" s="12">
        <v>77200</v>
      </c>
      <c r="D99" s="13">
        <f>316000-238800+30000+50000</f>
        <v>157200</v>
      </c>
      <c r="E99" s="16">
        <v>167289.92</v>
      </c>
      <c r="F99" s="12">
        <f t="shared" si="12"/>
        <v>106.41852417302799</v>
      </c>
    </row>
    <row r="100" spans="1:6" ht="39.75" customHeight="1">
      <c r="A100" s="23" t="s">
        <v>287</v>
      </c>
      <c r="B100" s="24" t="s">
        <v>288</v>
      </c>
      <c r="C100" s="12">
        <f>C101</f>
        <v>0</v>
      </c>
      <c r="D100" s="13">
        <f>D101</f>
        <v>7635.4</v>
      </c>
      <c r="E100" s="13">
        <f>E101</f>
        <v>0</v>
      </c>
      <c r="F100" s="12">
        <f t="shared" si="12"/>
        <v>0</v>
      </c>
    </row>
    <row r="101" spans="1:6" ht="37.5" customHeight="1">
      <c r="A101" s="23" t="s">
        <v>289</v>
      </c>
      <c r="B101" s="24" t="s">
        <v>288</v>
      </c>
      <c r="C101" s="12">
        <v>0</v>
      </c>
      <c r="D101" s="13">
        <v>7635.4</v>
      </c>
      <c r="E101" s="16">
        <v>0</v>
      </c>
      <c r="F101" s="12">
        <f t="shared" si="12"/>
        <v>0</v>
      </c>
    </row>
    <row r="102" spans="1:6" ht="51.75">
      <c r="A102" s="21" t="s">
        <v>35</v>
      </c>
      <c r="B102" s="33" t="s">
        <v>234</v>
      </c>
      <c r="C102" s="11">
        <f>C103+C108</f>
        <v>1419000</v>
      </c>
      <c r="D102" s="11">
        <f>D103+D108</f>
        <v>873069.51</v>
      </c>
      <c r="E102" s="11">
        <f>E103+E108</f>
        <v>908176.61</v>
      </c>
      <c r="F102" s="11">
        <f t="shared" si="12"/>
        <v>104.02111167528918</v>
      </c>
    </row>
    <row r="103" spans="1:6" ht="18">
      <c r="A103" s="23" t="s">
        <v>60</v>
      </c>
      <c r="B103" s="25" t="s">
        <v>113</v>
      </c>
      <c r="C103" s="12">
        <f aca="true" t="shared" si="15" ref="C103:E104">C104</f>
        <v>1409000</v>
      </c>
      <c r="D103" s="12">
        <f t="shared" si="15"/>
        <v>779000</v>
      </c>
      <c r="E103" s="12">
        <f t="shared" si="15"/>
        <v>782718.19</v>
      </c>
      <c r="F103" s="12">
        <f t="shared" si="12"/>
        <v>100.47730295250321</v>
      </c>
    </row>
    <row r="104" spans="1:6" ht="18">
      <c r="A104" s="23" t="s">
        <v>61</v>
      </c>
      <c r="B104" s="25" t="s">
        <v>114</v>
      </c>
      <c r="C104" s="12">
        <f t="shared" si="15"/>
        <v>1409000</v>
      </c>
      <c r="D104" s="12">
        <f t="shared" si="15"/>
        <v>779000</v>
      </c>
      <c r="E104" s="12">
        <f t="shared" si="15"/>
        <v>782718.19</v>
      </c>
      <c r="F104" s="12">
        <f t="shared" si="12"/>
        <v>100.47730295250321</v>
      </c>
    </row>
    <row r="105" spans="1:6" ht="54">
      <c r="A105" s="23" t="s">
        <v>36</v>
      </c>
      <c r="B105" s="25" t="s">
        <v>37</v>
      </c>
      <c r="C105" s="12">
        <f>SUM(C106:C107)</f>
        <v>1409000</v>
      </c>
      <c r="D105" s="12">
        <f>SUM(D106:D107)</f>
        <v>779000</v>
      </c>
      <c r="E105" s="12">
        <f>SUM(E106:E107)</f>
        <v>782718.19</v>
      </c>
      <c r="F105" s="12">
        <f t="shared" si="12"/>
        <v>100.47730295250321</v>
      </c>
    </row>
    <row r="106" spans="1:6" ht="54">
      <c r="A106" s="23" t="s">
        <v>38</v>
      </c>
      <c r="B106" s="25" t="s">
        <v>127</v>
      </c>
      <c r="C106" s="12">
        <v>9000</v>
      </c>
      <c r="D106" s="14">
        <f>13000-4000</f>
        <v>9000</v>
      </c>
      <c r="E106" s="16">
        <v>9001</v>
      </c>
      <c r="F106" s="12">
        <f t="shared" si="12"/>
        <v>100.01111111111112</v>
      </c>
    </row>
    <row r="107" spans="1:6" ht="54">
      <c r="A107" s="23" t="s">
        <v>39</v>
      </c>
      <c r="B107" s="25" t="s">
        <v>40</v>
      </c>
      <c r="C107" s="12">
        <v>1400000</v>
      </c>
      <c r="D107" s="14">
        <f>1400000-450000-180000</f>
        <v>770000</v>
      </c>
      <c r="E107" s="14">
        <v>773717.19</v>
      </c>
      <c r="F107" s="12">
        <f t="shared" si="12"/>
        <v>100.48275194805194</v>
      </c>
    </row>
    <row r="108" spans="1:6" ht="18">
      <c r="A108" s="23" t="s">
        <v>108</v>
      </c>
      <c r="B108" s="24" t="s">
        <v>134</v>
      </c>
      <c r="C108" s="12">
        <f aca="true" t="shared" si="16" ref="C108:E109">C109</f>
        <v>10000</v>
      </c>
      <c r="D108" s="14">
        <f t="shared" si="16"/>
        <v>94069.51</v>
      </c>
      <c r="E108" s="14">
        <f t="shared" si="16"/>
        <v>125458.42</v>
      </c>
      <c r="F108" s="12">
        <f t="shared" si="12"/>
        <v>133.36778303618252</v>
      </c>
    </row>
    <row r="109" spans="1:6" ht="36">
      <c r="A109" s="35" t="s">
        <v>109</v>
      </c>
      <c r="B109" s="24" t="s">
        <v>135</v>
      </c>
      <c r="C109" s="12">
        <f t="shared" si="16"/>
        <v>10000</v>
      </c>
      <c r="D109" s="14">
        <f t="shared" si="16"/>
        <v>94069.51</v>
      </c>
      <c r="E109" s="14">
        <f t="shared" si="16"/>
        <v>125458.42</v>
      </c>
      <c r="F109" s="12">
        <f t="shared" si="12"/>
        <v>133.36778303618252</v>
      </c>
    </row>
    <row r="110" spans="1:6" ht="36">
      <c r="A110" s="35" t="s">
        <v>110</v>
      </c>
      <c r="B110" s="24" t="s">
        <v>136</v>
      </c>
      <c r="C110" s="12">
        <f>SUM(C111:C114)</f>
        <v>10000</v>
      </c>
      <c r="D110" s="14">
        <f>SUM(D111:D114)</f>
        <v>94069.51</v>
      </c>
      <c r="E110" s="14">
        <f>SUM(E111:E114)</f>
        <v>125458.42</v>
      </c>
      <c r="F110" s="12">
        <f t="shared" si="12"/>
        <v>133.36778303618252</v>
      </c>
    </row>
    <row r="111" spans="1:7" ht="36">
      <c r="A111" s="35" t="s">
        <v>111</v>
      </c>
      <c r="B111" s="24" t="s">
        <v>137</v>
      </c>
      <c r="C111" s="12">
        <v>0</v>
      </c>
      <c r="D111" s="14">
        <v>0</v>
      </c>
      <c r="E111" s="16">
        <v>12991.33</v>
      </c>
      <c r="F111" s="12">
        <v>0</v>
      </c>
      <c r="G111" s="8"/>
    </row>
    <row r="112" spans="1:7" ht="36">
      <c r="A112" s="35" t="s">
        <v>290</v>
      </c>
      <c r="B112" s="24" t="s">
        <v>137</v>
      </c>
      <c r="C112" s="12">
        <v>0</v>
      </c>
      <c r="D112" s="14">
        <f>3803.65+80000</f>
        <v>83803.65</v>
      </c>
      <c r="E112" s="16">
        <v>88788.39</v>
      </c>
      <c r="F112" s="12">
        <f t="shared" si="12"/>
        <v>105.94811801156634</v>
      </c>
      <c r="G112" s="8"/>
    </row>
    <row r="113" spans="1:6" ht="36">
      <c r="A113" s="35" t="s">
        <v>166</v>
      </c>
      <c r="B113" s="24" t="s">
        <v>137</v>
      </c>
      <c r="C113" s="12">
        <v>10000</v>
      </c>
      <c r="D113" s="14">
        <v>10000</v>
      </c>
      <c r="E113" s="14">
        <v>23412.84</v>
      </c>
      <c r="F113" s="12">
        <f t="shared" si="12"/>
        <v>234.1284</v>
      </c>
    </row>
    <row r="114" spans="1:6" ht="36">
      <c r="A114" s="35" t="s">
        <v>291</v>
      </c>
      <c r="B114" s="24" t="s">
        <v>137</v>
      </c>
      <c r="C114" s="12">
        <v>0</v>
      </c>
      <c r="D114" s="14">
        <v>265.86</v>
      </c>
      <c r="E114" s="14">
        <v>265.86</v>
      </c>
      <c r="F114" s="12">
        <f t="shared" si="12"/>
        <v>100</v>
      </c>
    </row>
    <row r="115" spans="1:6" ht="34.5">
      <c r="A115" s="21" t="s">
        <v>41</v>
      </c>
      <c r="B115" s="22" t="s">
        <v>192</v>
      </c>
      <c r="C115" s="11">
        <f>C116+C120</f>
        <v>350000</v>
      </c>
      <c r="D115" s="11">
        <f>D116+D120</f>
        <v>806188.49</v>
      </c>
      <c r="E115" s="11">
        <f>E116+E120</f>
        <v>805638.09</v>
      </c>
      <c r="F115" s="11">
        <f t="shared" si="12"/>
        <v>99.93172812477141</v>
      </c>
    </row>
    <row r="116" spans="1:6" ht="126">
      <c r="A116" s="23" t="s">
        <v>42</v>
      </c>
      <c r="B116" s="25" t="s">
        <v>191</v>
      </c>
      <c r="C116" s="12">
        <f>C117</f>
        <v>200000</v>
      </c>
      <c r="D116" s="14">
        <f aca="true" t="shared" si="17" ref="D116:E118">D117</f>
        <v>174000</v>
      </c>
      <c r="E116" s="14">
        <f t="shared" si="17"/>
        <v>173449.58</v>
      </c>
      <c r="F116" s="12">
        <f t="shared" si="12"/>
        <v>99.68366666666665</v>
      </c>
    </row>
    <row r="117" spans="1:6" ht="144">
      <c r="A117" s="23" t="s">
        <v>104</v>
      </c>
      <c r="B117" s="25" t="s">
        <v>190</v>
      </c>
      <c r="C117" s="12">
        <f>C118</f>
        <v>200000</v>
      </c>
      <c r="D117" s="14">
        <f t="shared" si="17"/>
        <v>174000</v>
      </c>
      <c r="E117" s="14">
        <f t="shared" si="17"/>
        <v>173449.58</v>
      </c>
      <c r="F117" s="12">
        <f t="shared" si="12"/>
        <v>99.68366666666665</v>
      </c>
    </row>
    <row r="118" spans="1:6" ht="144">
      <c r="A118" s="23" t="s">
        <v>105</v>
      </c>
      <c r="B118" s="25" t="s">
        <v>189</v>
      </c>
      <c r="C118" s="12">
        <f>C119</f>
        <v>200000</v>
      </c>
      <c r="D118" s="14">
        <f t="shared" si="17"/>
        <v>174000</v>
      </c>
      <c r="E118" s="14">
        <f t="shared" si="17"/>
        <v>173449.58</v>
      </c>
      <c r="F118" s="12">
        <f t="shared" si="12"/>
        <v>99.68366666666665</v>
      </c>
    </row>
    <row r="119" spans="1:6" ht="144">
      <c r="A119" s="23" t="s">
        <v>43</v>
      </c>
      <c r="B119" s="25" t="s">
        <v>193</v>
      </c>
      <c r="C119" s="12">
        <v>200000</v>
      </c>
      <c r="D119" s="14">
        <f>200000-26000</f>
        <v>174000</v>
      </c>
      <c r="E119" s="14">
        <v>173449.58</v>
      </c>
      <c r="F119" s="12">
        <f t="shared" si="12"/>
        <v>99.68366666666665</v>
      </c>
    </row>
    <row r="120" spans="1:6" ht="54">
      <c r="A120" s="23" t="s">
        <v>44</v>
      </c>
      <c r="B120" s="24" t="s">
        <v>188</v>
      </c>
      <c r="C120" s="12">
        <f>C121+C124+C126</f>
        <v>150000</v>
      </c>
      <c r="D120" s="13">
        <f>D121+D126</f>
        <v>632188.49</v>
      </c>
      <c r="E120" s="13">
        <f>E121+E126</f>
        <v>632188.51</v>
      </c>
      <c r="F120" s="12">
        <f t="shared" si="12"/>
        <v>100.00000316361344</v>
      </c>
    </row>
    <row r="121" spans="1:6" ht="54">
      <c r="A121" s="23" t="s">
        <v>62</v>
      </c>
      <c r="B121" s="29" t="s">
        <v>187</v>
      </c>
      <c r="C121" s="12">
        <f>C122</f>
        <v>50000</v>
      </c>
      <c r="D121" s="13">
        <f>D124+D122</f>
        <v>352588.49</v>
      </c>
      <c r="E121" s="13">
        <f>E124+E122</f>
        <v>352588.51</v>
      </c>
      <c r="F121" s="12">
        <f t="shared" si="12"/>
        <v>100.00000567233491</v>
      </c>
    </row>
    <row r="122" spans="1:6" ht="108">
      <c r="A122" s="23" t="s">
        <v>177</v>
      </c>
      <c r="B122" s="24" t="s">
        <v>178</v>
      </c>
      <c r="C122" s="12">
        <f>C123</f>
        <v>50000</v>
      </c>
      <c r="D122" s="13">
        <f>D123</f>
        <v>229814.6</v>
      </c>
      <c r="E122" s="13">
        <f>E123</f>
        <v>229814.6</v>
      </c>
      <c r="F122" s="12">
        <f t="shared" si="12"/>
        <v>100</v>
      </c>
    </row>
    <row r="123" spans="1:6" ht="108">
      <c r="A123" s="23" t="s">
        <v>179</v>
      </c>
      <c r="B123" s="24" t="s">
        <v>178</v>
      </c>
      <c r="C123" s="12">
        <v>50000</v>
      </c>
      <c r="D123" s="13">
        <f>50000+23500+156314.6</f>
        <v>229814.6</v>
      </c>
      <c r="E123" s="13">
        <v>229814.6</v>
      </c>
      <c r="F123" s="12">
        <f t="shared" si="12"/>
        <v>100</v>
      </c>
    </row>
    <row r="124" spans="1:6" ht="72">
      <c r="A124" s="36" t="s">
        <v>123</v>
      </c>
      <c r="B124" s="29" t="s">
        <v>165</v>
      </c>
      <c r="C124" s="12">
        <f>C125</f>
        <v>100000</v>
      </c>
      <c r="D124" s="13">
        <f>D125</f>
        <v>122773.89</v>
      </c>
      <c r="E124" s="13">
        <f>E125</f>
        <v>122773.91</v>
      </c>
      <c r="F124" s="12">
        <f t="shared" si="12"/>
        <v>100.00001629010859</v>
      </c>
    </row>
    <row r="125" spans="1:6" ht="72">
      <c r="A125" s="36" t="s">
        <v>122</v>
      </c>
      <c r="B125" s="29" t="s">
        <v>165</v>
      </c>
      <c r="C125" s="12">
        <v>100000</v>
      </c>
      <c r="D125" s="13">
        <f>100000+22773.89</f>
        <v>122773.89</v>
      </c>
      <c r="E125" s="16">
        <v>122773.91</v>
      </c>
      <c r="F125" s="12">
        <f t="shared" si="12"/>
        <v>100.00001629010859</v>
      </c>
    </row>
    <row r="126" spans="1:6" ht="90">
      <c r="A126" s="36" t="s">
        <v>292</v>
      </c>
      <c r="B126" s="29" t="s">
        <v>293</v>
      </c>
      <c r="C126" s="12">
        <f aca="true" t="shared" si="18" ref="C126:E127">C127</f>
        <v>0</v>
      </c>
      <c r="D126" s="13">
        <f t="shared" si="18"/>
        <v>279600</v>
      </c>
      <c r="E126" s="13">
        <f t="shared" si="18"/>
        <v>279600</v>
      </c>
      <c r="F126" s="12">
        <f t="shared" si="12"/>
        <v>100</v>
      </c>
    </row>
    <row r="127" spans="1:6" ht="108">
      <c r="A127" s="36" t="s">
        <v>294</v>
      </c>
      <c r="B127" s="29" t="s">
        <v>295</v>
      </c>
      <c r="C127" s="12">
        <f t="shared" si="18"/>
        <v>0</v>
      </c>
      <c r="D127" s="13">
        <f t="shared" si="18"/>
        <v>279600</v>
      </c>
      <c r="E127" s="13">
        <f t="shared" si="18"/>
        <v>279600</v>
      </c>
      <c r="F127" s="12">
        <f t="shared" si="12"/>
        <v>100</v>
      </c>
    </row>
    <row r="128" spans="1:6" ht="108">
      <c r="A128" s="36" t="s">
        <v>296</v>
      </c>
      <c r="B128" s="29" t="s">
        <v>295</v>
      </c>
      <c r="C128" s="12">
        <v>0</v>
      </c>
      <c r="D128" s="13">
        <v>279600</v>
      </c>
      <c r="E128" s="16">
        <v>279600</v>
      </c>
      <c r="F128" s="12">
        <f t="shared" si="12"/>
        <v>100</v>
      </c>
    </row>
    <row r="129" spans="1:6" ht="34.5">
      <c r="A129" s="21" t="s">
        <v>45</v>
      </c>
      <c r="B129" s="31" t="s">
        <v>138</v>
      </c>
      <c r="C129" s="11">
        <f>C130+C135+C138+C143+C145+C148+C151+C154+C141</f>
        <v>501000</v>
      </c>
      <c r="D129" s="11">
        <f>D130+D138+D154+D151+D148+D143+D145+D135</f>
        <v>426700</v>
      </c>
      <c r="E129" s="11">
        <f>E130+E138+E154+E151+E148+E143+E145+E135</f>
        <v>449552.58</v>
      </c>
      <c r="F129" s="11">
        <f t="shared" si="12"/>
        <v>105.35565502695104</v>
      </c>
    </row>
    <row r="130" spans="1:6" ht="36">
      <c r="A130" s="23" t="s">
        <v>46</v>
      </c>
      <c r="B130" s="24" t="s">
        <v>8</v>
      </c>
      <c r="C130" s="12">
        <f>C131+C133</f>
        <v>10000</v>
      </c>
      <c r="D130" s="14">
        <f>D131+D133</f>
        <v>-2250</v>
      </c>
      <c r="E130" s="14">
        <f>E131+E133</f>
        <v>-1825</v>
      </c>
      <c r="F130" s="12">
        <f t="shared" si="12"/>
        <v>81.11111111111111</v>
      </c>
    </row>
    <row r="131" spans="1:6" ht="126">
      <c r="A131" s="23" t="s">
        <v>106</v>
      </c>
      <c r="B131" s="37" t="s">
        <v>186</v>
      </c>
      <c r="C131" s="42">
        <f>C132</f>
        <v>10000</v>
      </c>
      <c r="D131" s="14">
        <f>D132</f>
        <v>-2700</v>
      </c>
      <c r="E131" s="14">
        <f>E132</f>
        <v>-2275</v>
      </c>
      <c r="F131" s="12">
        <f t="shared" si="12"/>
        <v>84.25925925925925</v>
      </c>
    </row>
    <row r="132" spans="1:6" ht="126">
      <c r="A132" s="23" t="s">
        <v>83</v>
      </c>
      <c r="B132" s="37" t="s">
        <v>186</v>
      </c>
      <c r="C132" s="42">
        <v>10000</v>
      </c>
      <c r="D132" s="17">
        <f>10000-12400-300</f>
        <v>-2700</v>
      </c>
      <c r="E132" s="17">
        <v>-2275</v>
      </c>
      <c r="F132" s="12">
        <f t="shared" si="12"/>
        <v>84.25925925925925</v>
      </c>
    </row>
    <row r="133" spans="1:6" ht="108">
      <c r="A133" s="23" t="s">
        <v>297</v>
      </c>
      <c r="B133" s="37" t="s">
        <v>298</v>
      </c>
      <c r="C133" s="42">
        <f>C134</f>
        <v>0</v>
      </c>
      <c r="D133" s="17">
        <f>D134</f>
        <v>450</v>
      </c>
      <c r="E133" s="17">
        <f>E134</f>
        <v>450</v>
      </c>
      <c r="F133" s="12">
        <f t="shared" si="12"/>
        <v>100</v>
      </c>
    </row>
    <row r="134" spans="1:6" ht="108">
      <c r="A134" s="23" t="s">
        <v>299</v>
      </c>
      <c r="B134" s="37" t="s">
        <v>298</v>
      </c>
      <c r="C134" s="42">
        <v>0</v>
      </c>
      <c r="D134" s="17">
        <f>150+300</f>
        <v>450</v>
      </c>
      <c r="E134" s="17">
        <v>450</v>
      </c>
      <c r="F134" s="12">
        <f t="shared" si="12"/>
        <v>100</v>
      </c>
    </row>
    <row r="135" spans="1:6" ht="72">
      <c r="A135" s="23" t="s">
        <v>314</v>
      </c>
      <c r="B135" s="37" t="s">
        <v>315</v>
      </c>
      <c r="C135" s="42">
        <f aca="true" t="shared" si="19" ref="C135:E136">C136</f>
        <v>0</v>
      </c>
      <c r="D135" s="17">
        <f t="shared" si="19"/>
        <v>32300</v>
      </c>
      <c r="E135" s="17">
        <f t="shared" si="19"/>
        <v>32300</v>
      </c>
      <c r="F135" s="12">
        <f t="shared" si="12"/>
        <v>100</v>
      </c>
    </row>
    <row r="136" spans="1:6" ht="108">
      <c r="A136" s="23" t="s">
        <v>316</v>
      </c>
      <c r="B136" s="37" t="s">
        <v>317</v>
      </c>
      <c r="C136" s="42">
        <f t="shared" si="19"/>
        <v>0</v>
      </c>
      <c r="D136" s="17">
        <f t="shared" si="19"/>
        <v>32300</v>
      </c>
      <c r="E136" s="17">
        <f t="shared" si="19"/>
        <v>32300</v>
      </c>
      <c r="F136" s="12">
        <f t="shared" si="12"/>
        <v>100</v>
      </c>
    </row>
    <row r="137" spans="1:6" ht="108">
      <c r="A137" s="23" t="s">
        <v>318</v>
      </c>
      <c r="B137" s="37" t="s">
        <v>317</v>
      </c>
      <c r="C137" s="42">
        <v>0</v>
      </c>
      <c r="D137" s="17">
        <f>30000+2300</f>
        <v>32300</v>
      </c>
      <c r="E137" s="17">
        <v>32300</v>
      </c>
      <c r="F137" s="12">
        <f t="shared" si="12"/>
        <v>100</v>
      </c>
    </row>
    <row r="138" spans="1:6" ht="162">
      <c r="A138" s="23" t="s">
        <v>47</v>
      </c>
      <c r="B138" s="25" t="s">
        <v>75</v>
      </c>
      <c r="C138" s="12">
        <f>C139</f>
        <v>3000</v>
      </c>
      <c r="D138" s="12">
        <f>D141+D139</f>
        <v>35750</v>
      </c>
      <c r="E138" s="12">
        <f>E141+E139</f>
        <v>36000</v>
      </c>
      <c r="F138" s="12">
        <f t="shared" si="12"/>
        <v>100.69930069930071</v>
      </c>
    </row>
    <row r="139" spans="1:6" ht="54">
      <c r="A139" s="23" t="s">
        <v>340</v>
      </c>
      <c r="B139" s="25" t="s">
        <v>342</v>
      </c>
      <c r="C139" s="12">
        <f>C140</f>
        <v>3000</v>
      </c>
      <c r="D139" s="12">
        <f>D140</f>
        <v>500</v>
      </c>
      <c r="E139" s="12">
        <f>E140</f>
        <v>1000</v>
      </c>
      <c r="F139" s="12">
        <f t="shared" si="12"/>
        <v>200</v>
      </c>
    </row>
    <row r="140" spans="1:6" ht="54">
      <c r="A140" s="23" t="s">
        <v>341</v>
      </c>
      <c r="B140" s="25" t="s">
        <v>342</v>
      </c>
      <c r="C140" s="12">
        <v>3000</v>
      </c>
      <c r="D140" s="12">
        <v>500</v>
      </c>
      <c r="E140" s="12">
        <v>1000</v>
      </c>
      <c r="F140" s="12">
        <f t="shared" si="12"/>
        <v>200</v>
      </c>
    </row>
    <row r="141" spans="1:6" ht="36">
      <c r="A141" s="23" t="s">
        <v>48</v>
      </c>
      <c r="B141" s="24" t="s">
        <v>9</v>
      </c>
      <c r="C141" s="12">
        <f>C142</f>
        <v>45000</v>
      </c>
      <c r="D141" s="12">
        <f>D142</f>
        <v>35250</v>
      </c>
      <c r="E141" s="12">
        <f>E142</f>
        <v>35000</v>
      </c>
      <c r="F141" s="12">
        <f t="shared" si="12"/>
        <v>99.29078014184397</v>
      </c>
    </row>
    <row r="142" spans="1:6" ht="36">
      <c r="A142" s="23" t="s">
        <v>49</v>
      </c>
      <c r="B142" s="24" t="s">
        <v>9</v>
      </c>
      <c r="C142" s="12">
        <v>45000</v>
      </c>
      <c r="D142" s="12">
        <f>45000-14750-10000+15000</f>
        <v>35250</v>
      </c>
      <c r="E142" s="12">
        <v>35000</v>
      </c>
      <c r="F142" s="12">
        <f t="shared" si="12"/>
        <v>99.29078014184397</v>
      </c>
    </row>
    <row r="143" spans="1:6" ht="108">
      <c r="A143" s="23" t="s">
        <v>300</v>
      </c>
      <c r="B143" s="24" t="s">
        <v>301</v>
      </c>
      <c r="C143" s="12">
        <f>C144</f>
        <v>0</v>
      </c>
      <c r="D143" s="12">
        <f>D144</f>
        <v>8500</v>
      </c>
      <c r="E143" s="12">
        <f>E144</f>
        <v>9489.64</v>
      </c>
      <c r="F143" s="12">
        <f t="shared" si="12"/>
        <v>111.64282352941174</v>
      </c>
    </row>
    <row r="144" spans="1:6" ht="108">
      <c r="A144" s="23" t="s">
        <v>302</v>
      </c>
      <c r="B144" s="24" t="s">
        <v>301</v>
      </c>
      <c r="C144" s="12">
        <v>0</v>
      </c>
      <c r="D144" s="12">
        <f>3500+1000+4000</f>
        <v>8500</v>
      </c>
      <c r="E144" s="12">
        <v>9489.64</v>
      </c>
      <c r="F144" s="12">
        <f t="shared" si="12"/>
        <v>111.64282352941174</v>
      </c>
    </row>
    <row r="145" spans="1:6" ht="54">
      <c r="A145" s="23" t="s">
        <v>303</v>
      </c>
      <c r="B145" s="24" t="s">
        <v>304</v>
      </c>
      <c r="C145" s="12">
        <f aca="true" t="shared" si="20" ref="C145:E146">C146</f>
        <v>0</v>
      </c>
      <c r="D145" s="12">
        <f t="shared" si="20"/>
        <v>50000</v>
      </c>
      <c r="E145" s="12">
        <f t="shared" si="20"/>
        <v>50000</v>
      </c>
      <c r="F145" s="12">
        <f t="shared" si="12"/>
        <v>100</v>
      </c>
    </row>
    <row r="146" spans="1:6" ht="54">
      <c r="A146" s="23" t="s">
        <v>305</v>
      </c>
      <c r="B146" s="24" t="s">
        <v>306</v>
      </c>
      <c r="C146" s="12">
        <f t="shared" si="20"/>
        <v>0</v>
      </c>
      <c r="D146" s="12">
        <f t="shared" si="20"/>
        <v>50000</v>
      </c>
      <c r="E146" s="12">
        <f t="shared" si="20"/>
        <v>50000</v>
      </c>
      <c r="F146" s="12">
        <f t="shared" si="12"/>
        <v>100</v>
      </c>
    </row>
    <row r="147" spans="1:6" ht="54">
      <c r="A147" s="23" t="s">
        <v>307</v>
      </c>
      <c r="B147" s="24" t="s">
        <v>306</v>
      </c>
      <c r="C147" s="12">
        <v>0</v>
      </c>
      <c r="D147" s="12">
        <f>23500+3000+23500</f>
        <v>50000</v>
      </c>
      <c r="E147" s="12">
        <v>50000</v>
      </c>
      <c r="F147" s="12">
        <f aca="true" t="shared" si="21" ref="F147:F215">SUM(E147/D147*100)</f>
        <v>100</v>
      </c>
    </row>
    <row r="148" spans="1:6" ht="108">
      <c r="A148" s="23" t="s">
        <v>180</v>
      </c>
      <c r="B148" s="24" t="s">
        <v>182</v>
      </c>
      <c r="C148" s="12">
        <f aca="true" t="shared" si="22" ref="C148:E149">C149</f>
        <v>3000</v>
      </c>
      <c r="D148" s="12">
        <f t="shared" si="22"/>
        <v>6000</v>
      </c>
      <c r="E148" s="12">
        <f t="shared" si="22"/>
        <v>6000</v>
      </c>
      <c r="F148" s="12">
        <f t="shared" si="21"/>
        <v>100</v>
      </c>
    </row>
    <row r="149" spans="1:6" ht="126">
      <c r="A149" s="23" t="s">
        <v>181</v>
      </c>
      <c r="B149" s="24" t="s">
        <v>183</v>
      </c>
      <c r="C149" s="12">
        <f t="shared" si="22"/>
        <v>3000</v>
      </c>
      <c r="D149" s="12">
        <f t="shared" si="22"/>
        <v>6000</v>
      </c>
      <c r="E149" s="12">
        <f t="shared" si="22"/>
        <v>6000</v>
      </c>
      <c r="F149" s="12">
        <f t="shared" si="21"/>
        <v>100</v>
      </c>
    </row>
    <row r="150" spans="1:6" ht="126">
      <c r="A150" s="23" t="s">
        <v>184</v>
      </c>
      <c r="B150" s="24" t="s">
        <v>183</v>
      </c>
      <c r="C150" s="12">
        <v>3000</v>
      </c>
      <c r="D150" s="12">
        <f>3000+3000</f>
        <v>6000</v>
      </c>
      <c r="E150" s="12">
        <v>6000</v>
      </c>
      <c r="F150" s="12">
        <f t="shared" si="21"/>
        <v>100</v>
      </c>
    </row>
    <row r="151" spans="1:6" ht="108">
      <c r="A151" s="23" t="s">
        <v>84</v>
      </c>
      <c r="B151" s="24" t="s">
        <v>85</v>
      </c>
      <c r="C151" s="12">
        <f>SUM(C152:C153)</f>
        <v>10000</v>
      </c>
      <c r="D151" s="13">
        <f>D152+D153</f>
        <v>32400</v>
      </c>
      <c r="E151" s="13">
        <f>E152+E153</f>
        <v>33554.57</v>
      </c>
      <c r="F151" s="12">
        <f t="shared" si="21"/>
        <v>103.563487654321</v>
      </c>
    </row>
    <row r="152" spans="1:6" ht="108">
      <c r="A152" s="23" t="s">
        <v>86</v>
      </c>
      <c r="B152" s="24" t="s">
        <v>85</v>
      </c>
      <c r="C152" s="12">
        <v>8000</v>
      </c>
      <c r="D152" s="13">
        <f>10000-2000+9500+10200</f>
        <v>27700</v>
      </c>
      <c r="E152" s="13">
        <v>28700</v>
      </c>
      <c r="F152" s="12">
        <f t="shared" si="21"/>
        <v>103.6101083032491</v>
      </c>
    </row>
    <row r="153" spans="1:6" ht="108">
      <c r="A153" s="23" t="s">
        <v>203</v>
      </c>
      <c r="B153" s="24" t="s">
        <v>85</v>
      </c>
      <c r="C153" s="12">
        <v>2000</v>
      </c>
      <c r="D153" s="13">
        <f>2000+5500-6500+3700</f>
        <v>4700</v>
      </c>
      <c r="E153" s="13">
        <v>4854.57</v>
      </c>
      <c r="F153" s="12">
        <f t="shared" si="21"/>
        <v>103.28872340425532</v>
      </c>
    </row>
    <row r="154" spans="1:6" ht="36">
      <c r="A154" s="23" t="s">
        <v>50</v>
      </c>
      <c r="B154" s="24" t="s">
        <v>139</v>
      </c>
      <c r="C154" s="12">
        <f>C155</f>
        <v>430000</v>
      </c>
      <c r="D154" s="12">
        <f>D155</f>
        <v>264000</v>
      </c>
      <c r="E154" s="12">
        <f>E155</f>
        <v>284033.37</v>
      </c>
      <c r="F154" s="12">
        <f t="shared" si="21"/>
        <v>107.58839772727273</v>
      </c>
    </row>
    <row r="155" spans="1:6" ht="54">
      <c r="A155" s="23" t="s">
        <v>51</v>
      </c>
      <c r="B155" s="24" t="s">
        <v>140</v>
      </c>
      <c r="C155" s="12">
        <f>SUM(C156:C160)</f>
        <v>430000</v>
      </c>
      <c r="D155" s="12">
        <f>SUM(D156:D160)</f>
        <v>264000</v>
      </c>
      <c r="E155" s="12">
        <f>SUM(E156:E160)</f>
        <v>284033.37</v>
      </c>
      <c r="F155" s="12">
        <f t="shared" si="21"/>
        <v>107.58839772727273</v>
      </c>
    </row>
    <row r="156" spans="1:6" ht="54">
      <c r="A156" s="23" t="s">
        <v>52</v>
      </c>
      <c r="B156" s="24" t="s">
        <v>141</v>
      </c>
      <c r="C156" s="12">
        <v>160000</v>
      </c>
      <c r="D156" s="13">
        <f>160000-5500-27000-60000</f>
        <v>67500</v>
      </c>
      <c r="E156" s="13">
        <v>80093.21</v>
      </c>
      <c r="F156" s="12">
        <f t="shared" si="21"/>
        <v>118.65660740740742</v>
      </c>
    </row>
    <row r="157" spans="1:6" ht="54">
      <c r="A157" s="23" t="s">
        <v>367</v>
      </c>
      <c r="B157" s="24" t="s">
        <v>141</v>
      </c>
      <c r="C157" s="12">
        <v>10000</v>
      </c>
      <c r="D157" s="13">
        <v>0</v>
      </c>
      <c r="E157" s="13">
        <v>0</v>
      </c>
      <c r="F157" s="12">
        <v>0</v>
      </c>
    </row>
    <row r="158" spans="1:6" ht="54">
      <c r="A158" s="23" t="s">
        <v>368</v>
      </c>
      <c r="B158" s="24" t="s">
        <v>141</v>
      </c>
      <c r="C158" s="12">
        <v>5000</v>
      </c>
      <c r="D158" s="13">
        <v>0</v>
      </c>
      <c r="E158" s="13">
        <v>0</v>
      </c>
      <c r="F158" s="12">
        <v>0</v>
      </c>
    </row>
    <row r="159" spans="1:6" ht="54">
      <c r="A159" s="23" t="s">
        <v>53</v>
      </c>
      <c r="B159" s="24" t="s">
        <v>63</v>
      </c>
      <c r="C159" s="12">
        <v>220000</v>
      </c>
      <c r="D159" s="13">
        <f>220000+8000-15000-3000-70000</f>
        <v>140000</v>
      </c>
      <c r="E159" s="16">
        <v>147440.16</v>
      </c>
      <c r="F159" s="12">
        <f t="shared" si="21"/>
        <v>105.3144</v>
      </c>
    </row>
    <row r="160" spans="1:6" ht="74.25" customHeight="1">
      <c r="A160" s="23" t="s">
        <v>167</v>
      </c>
      <c r="B160" s="24" t="s">
        <v>63</v>
      </c>
      <c r="C160" s="12">
        <v>35000</v>
      </c>
      <c r="D160" s="13">
        <f>35000+15000+3000+3500</f>
        <v>56500</v>
      </c>
      <c r="E160" s="13">
        <v>56500</v>
      </c>
      <c r="F160" s="12">
        <f t="shared" si="21"/>
        <v>100</v>
      </c>
    </row>
    <row r="161" spans="1:6" s="6" customFormat="1" ht="18" hidden="1">
      <c r="A161" s="21" t="s">
        <v>124</v>
      </c>
      <c r="B161" s="31" t="s">
        <v>125</v>
      </c>
      <c r="C161" s="11">
        <f>C162</f>
        <v>0</v>
      </c>
      <c r="D161" s="18">
        <v>0</v>
      </c>
      <c r="E161" s="18">
        <v>0</v>
      </c>
      <c r="F161" s="12" t="e">
        <f t="shared" si="21"/>
        <v>#DIV/0!</v>
      </c>
    </row>
    <row r="162" spans="1:6" s="6" customFormat="1" ht="27.75" customHeight="1">
      <c r="A162" s="21" t="s">
        <v>355</v>
      </c>
      <c r="B162" s="31" t="s">
        <v>356</v>
      </c>
      <c r="C162" s="11">
        <f>C163</f>
        <v>0</v>
      </c>
      <c r="D162" s="18">
        <f aca="true" t="shared" si="23" ref="D162:E164">D163</f>
        <v>0</v>
      </c>
      <c r="E162" s="18">
        <f t="shared" si="23"/>
        <v>-1558.17</v>
      </c>
      <c r="F162" s="11">
        <v>0</v>
      </c>
    </row>
    <row r="163" spans="1:6" s="6" customFormat="1" ht="27.75" customHeight="1">
      <c r="A163" s="23" t="s">
        <v>357</v>
      </c>
      <c r="B163" s="24" t="s">
        <v>358</v>
      </c>
      <c r="C163" s="12">
        <f>C164</f>
        <v>0</v>
      </c>
      <c r="D163" s="13">
        <f t="shared" si="23"/>
        <v>0</v>
      </c>
      <c r="E163" s="13">
        <f t="shared" si="23"/>
        <v>-1558.17</v>
      </c>
      <c r="F163" s="12">
        <v>0</v>
      </c>
    </row>
    <row r="164" spans="1:6" s="6" customFormat="1" ht="48" customHeight="1">
      <c r="A164" s="44" t="s">
        <v>359</v>
      </c>
      <c r="B164" s="24" t="s">
        <v>360</v>
      </c>
      <c r="C164" s="12">
        <f>C165</f>
        <v>0</v>
      </c>
      <c r="D164" s="13">
        <f t="shared" si="23"/>
        <v>0</v>
      </c>
      <c r="E164" s="13">
        <f t="shared" si="23"/>
        <v>-1558.17</v>
      </c>
      <c r="F164" s="12">
        <v>0</v>
      </c>
    </row>
    <row r="165" spans="1:6" s="6" customFormat="1" ht="48.75" customHeight="1">
      <c r="A165" s="44" t="s">
        <v>361</v>
      </c>
      <c r="B165" s="24" t="s">
        <v>360</v>
      </c>
      <c r="C165" s="12">
        <v>0</v>
      </c>
      <c r="D165" s="13">
        <v>0</v>
      </c>
      <c r="E165" s="13">
        <v>-1558.17</v>
      </c>
      <c r="F165" s="12">
        <v>0</v>
      </c>
    </row>
    <row r="166" spans="1:6" ht="18">
      <c r="A166" s="21" t="s">
        <v>54</v>
      </c>
      <c r="B166" s="33" t="s">
        <v>324</v>
      </c>
      <c r="C166" s="11">
        <f>C167+C208+C212</f>
        <v>237172074.66</v>
      </c>
      <c r="D166" s="15">
        <f>D167+D208+D212</f>
        <v>256614624.01</v>
      </c>
      <c r="E166" s="15">
        <f>E167+E208+E212</f>
        <v>256491318.01999998</v>
      </c>
      <c r="F166" s="11">
        <f t="shared" si="21"/>
        <v>99.95194896219351</v>
      </c>
    </row>
    <row r="167" spans="1:6" ht="51.75">
      <c r="A167" s="21" t="s">
        <v>74</v>
      </c>
      <c r="B167" s="40" t="s">
        <v>319</v>
      </c>
      <c r="C167" s="11">
        <f>C168+C175+C186+C201</f>
        <v>237172074.66</v>
      </c>
      <c r="D167" s="15">
        <f>D168+D175+D186+D201</f>
        <v>256550260.12</v>
      </c>
      <c r="E167" s="15">
        <f>E168+E175+E186+E201</f>
        <v>256426954.13</v>
      </c>
      <c r="F167" s="11">
        <f t="shared" si="21"/>
        <v>99.95193690704413</v>
      </c>
    </row>
    <row r="168" spans="1:6" ht="34.5">
      <c r="A168" s="21" t="s">
        <v>204</v>
      </c>
      <c r="B168" s="31" t="s">
        <v>200</v>
      </c>
      <c r="C168" s="11">
        <f>C169+C172</f>
        <v>111306700</v>
      </c>
      <c r="D168" s="15">
        <f>D169+D172</f>
        <v>119294548</v>
      </c>
      <c r="E168" s="15">
        <f>E169+E172</f>
        <v>119294548</v>
      </c>
      <c r="F168" s="11">
        <f t="shared" si="21"/>
        <v>100</v>
      </c>
    </row>
    <row r="169" spans="1:6" ht="36">
      <c r="A169" s="23" t="s">
        <v>205</v>
      </c>
      <c r="B169" s="24" t="s">
        <v>142</v>
      </c>
      <c r="C169" s="12">
        <f aca="true" t="shared" si="24" ref="C169:E170">C170</f>
        <v>101531500</v>
      </c>
      <c r="D169" s="14">
        <f t="shared" si="24"/>
        <v>101531500</v>
      </c>
      <c r="E169" s="14">
        <f t="shared" si="24"/>
        <v>101531500</v>
      </c>
      <c r="F169" s="12">
        <f t="shared" si="21"/>
        <v>100</v>
      </c>
    </row>
    <row r="170" spans="1:6" ht="36">
      <c r="A170" s="23" t="s">
        <v>206</v>
      </c>
      <c r="B170" s="24" t="s">
        <v>143</v>
      </c>
      <c r="C170" s="12">
        <f t="shared" si="24"/>
        <v>101531500</v>
      </c>
      <c r="D170" s="14">
        <f t="shared" si="24"/>
        <v>101531500</v>
      </c>
      <c r="E170" s="14">
        <f t="shared" si="24"/>
        <v>101531500</v>
      </c>
      <c r="F170" s="12">
        <f t="shared" si="21"/>
        <v>100</v>
      </c>
    </row>
    <row r="171" spans="1:6" ht="36">
      <c r="A171" s="23" t="s">
        <v>207</v>
      </c>
      <c r="B171" s="24" t="s">
        <v>143</v>
      </c>
      <c r="C171" s="12">
        <v>101531500</v>
      </c>
      <c r="D171" s="14">
        <v>101531500</v>
      </c>
      <c r="E171" s="16">
        <v>101531500</v>
      </c>
      <c r="F171" s="12">
        <f t="shared" si="21"/>
        <v>100</v>
      </c>
    </row>
    <row r="172" spans="1:6" ht="36">
      <c r="A172" s="23" t="s">
        <v>208</v>
      </c>
      <c r="B172" s="24" t="s">
        <v>199</v>
      </c>
      <c r="C172" s="12">
        <f aca="true" t="shared" si="25" ref="C172:E173">C173</f>
        <v>9775200</v>
      </c>
      <c r="D172" s="14">
        <f t="shared" si="25"/>
        <v>17763048</v>
      </c>
      <c r="E172" s="14">
        <f t="shared" si="25"/>
        <v>17763048</v>
      </c>
      <c r="F172" s="12">
        <f t="shared" si="21"/>
        <v>100</v>
      </c>
    </row>
    <row r="173" spans="1:6" ht="54">
      <c r="A173" s="23" t="s">
        <v>209</v>
      </c>
      <c r="B173" s="24" t="s">
        <v>198</v>
      </c>
      <c r="C173" s="12">
        <f t="shared" si="25"/>
        <v>9775200</v>
      </c>
      <c r="D173" s="14">
        <f t="shared" si="25"/>
        <v>17763048</v>
      </c>
      <c r="E173" s="14">
        <f t="shared" si="25"/>
        <v>17763048</v>
      </c>
      <c r="F173" s="12">
        <f t="shared" si="21"/>
        <v>100</v>
      </c>
    </row>
    <row r="174" spans="1:6" ht="54">
      <c r="A174" s="23" t="s">
        <v>210</v>
      </c>
      <c r="B174" s="24" t="s">
        <v>198</v>
      </c>
      <c r="C174" s="12">
        <v>9775200</v>
      </c>
      <c r="D174" s="14">
        <f>9775200+101250+7883448+3150</f>
        <v>17763048</v>
      </c>
      <c r="E174" s="16">
        <v>17763048</v>
      </c>
      <c r="F174" s="12">
        <f t="shared" si="21"/>
        <v>100</v>
      </c>
    </row>
    <row r="175" spans="1:6" s="6" customFormat="1" ht="51.75">
      <c r="A175" s="21" t="s">
        <v>211</v>
      </c>
      <c r="B175" s="33" t="s">
        <v>320</v>
      </c>
      <c r="C175" s="11">
        <f>C176+C179+C182</f>
        <v>8094357.8100000005</v>
      </c>
      <c r="D175" s="15">
        <f>D182+D179+D176</f>
        <v>19188232.689999998</v>
      </c>
      <c r="E175" s="15">
        <f>E182+E179+E176</f>
        <v>19188232.689999998</v>
      </c>
      <c r="F175" s="11">
        <f t="shared" si="21"/>
        <v>100</v>
      </c>
    </row>
    <row r="176" spans="1:6" s="6" customFormat="1" ht="54">
      <c r="A176" s="23" t="s">
        <v>308</v>
      </c>
      <c r="B176" s="25" t="s">
        <v>311</v>
      </c>
      <c r="C176" s="12">
        <f aca="true" t="shared" si="26" ref="C176:E177">C177</f>
        <v>0</v>
      </c>
      <c r="D176" s="14">
        <f t="shared" si="26"/>
        <v>5895970.35</v>
      </c>
      <c r="E176" s="14">
        <f t="shared" si="26"/>
        <v>5895970.35</v>
      </c>
      <c r="F176" s="12">
        <f t="shared" si="21"/>
        <v>100</v>
      </c>
    </row>
    <row r="177" spans="1:6" s="6" customFormat="1" ht="54">
      <c r="A177" s="23" t="s">
        <v>309</v>
      </c>
      <c r="B177" s="25" t="s">
        <v>312</v>
      </c>
      <c r="C177" s="12">
        <f t="shared" si="26"/>
        <v>0</v>
      </c>
      <c r="D177" s="14">
        <f t="shared" si="26"/>
        <v>5895970.35</v>
      </c>
      <c r="E177" s="14">
        <f t="shared" si="26"/>
        <v>5895970.35</v>
      </c>
      <c r="F177" s="12">
        <f t="shared" si="21"/>
        <v>100</v>
      </c>
    </row>
    <row r="178" spans="1:6" s="6" customFormat="1" ht="54">
      <c r="A178" s="23" t="s">
        <v>310</v>
      </c>
      <c r="B178" s="25" t="s">
        <v>312</v>
      </c>
      <c r="C178" s="12">
        <v>0</v>
      </c>
      <c r="D178" s="14">
        <f>13390340-7494369.65</f>
        <v>5895970.35</v>
      </c>
      <c r="E178" s="14">
        <v>5895970.35</v>
      </c>
      <c r="F178" s="12">
        <f t="shared" si="21"/>
        <v>100</v>
      </c>
    </row>
    <row r="179" spans="1:6" s="6" customFormat="1" ht="36">
      <c r="A179" s="20" t="s">
        <v>237</v>
      </c>
      <c r="B179" s="29" t="s">
        <v>235</v>
      </c>
      <c r="C179" s="12">
        <f aca="true" t="shared" si="27" ref="C179:E180">C180</f>
        <v>7341</v>
      </c>
      <c r="D179" s="14">
        <f t="shared" si="27"/>
        <v>7341</v>
      </c>
      <c r="E179" s="14">
        <f t="shared" si="27"/>
        <v>7341</v>
      </c>
      <c r="F179" s="12">
        <f t="shared" si="21"/>
        <v>100</v>
      </c>
    </row>
    <row r="180" spans="1:6" s="6" customFormat="1" ht="36">
      <c r="A180" s="20" t="s">
        <v>238</v>
      </c>
      <c r="B180" s="29" t="s">
        <v>236</v>
      </c>
      <c r="C180" s="12">
        <f t="shared" si="27"/>
        <v>7341</v>
      </c>
      <c r="D180" s="14">
        <f t="shared" si="27"/>
        <v>7341</v>
      </c>
      <c r="E180" s="14">
        <f t="shared" si="27"/>
        <v>7341</v>
      </c>
      <c r="F180" s="12">
        <f t="shared" si="21"/>
        <v>100</v>
      </c>
    </row>
    <row r="181" spans="1:6" s="6" customFormat="1" ht="36">
      <c r="A181" s="20" t="s">
        <v>239</v>
      </c>
      <c r="B181" s="29" t="s">
        <v>236</v>
      </c>
      <c r="C181" s="12">
        <v>7341</v>
      </c>
      <c r="D181" s="14">
        <v>7341</v>
      </c>
      <c r="E181" s="14">
        <v>7341</v>
      </c>
      <c r="F181" s="12">
        <f t="shared" si="21"/>
        <v>100</v>
      </c>
    </row>
    <row r="182" spans="1:6" ht="18">
      <c r="A182" s="23" t="s">
        <v>212</v>
      </c>
      <c r="B182" s="25" t="s">
        <v>321</v>
      </c>
      <c r="C182" s="12">
        <f>C183</f>
        <v>8087016.8100000005</v>
      </c>
      <c r="D182" s="14">
        <f>D183</f>
        <v>13284921.34</v>
      </c>
      <c r="E182" s="14">
        <f>E183</f>
        <v>13284921.34</v>
      </c>
      <c r="F182" s="12">
        <f t="shared" si="21"/>
        <v>100</v>
      </c>
    </row>
    <row r="183" spans="1:6" ht="36">
      <c r="A183" s="23" t="s">
        <v>213</v>
      </c>
      <c r="B183" s="25" t="s">
        <v>185</v>
      </c>
      <c r="C183" s="12">
        <f>SUM(C184:C185)</f>
        <v>8087016.8100000005</v>
      </c>
      <c r="D183" s="14">
        <f>SUM(D184:D185)</f>
        <v>13284921.34</v>
      </c>
      <c r="E183" s="14">
        <f>SUM(E184:E185)</f>
        <v>13284921.34</v>
      </c>
      <c r="F183" s="12">
        <f t="shared" si="21"/>
        <v>100</v>
      </c>
    </row>
    <row r="184" spans="1:6" ht="36">
      <c r="A184" s="23" t="s">
        <v>214</v>
      </c>
      <c r="B184" s="25" t="s">
        <v>185</v>
      </c>
      <c r="C184" s="12">
        <v>7377402</v>
      </c>
      <c r="D184" s="14">
        <f>7377402+1339026+5382+29212</f>
        <v>8751022</v>
      </c>
      <c r="E184" s="14">
        <v>8751022</v>
      </c>
      <c r="F184" s="12">
        <f t="shared" si="21"/>
        <v>100</v>
      </c>
    </row>
    <row r="185" spans="1:6" ht="36">
      <c r="A185" s="23" t="s">
        <v>215</v>
      </c>
      <c r="B185" s="25" t="s">
        <v>185</v>
      </c>
      <c r="C185" s="12">
        <v>709614.81</v>
      </c>
      <c r="D185" s="14">
        <f>709614.81+1050000+2700000+64311+9973.53</f>
        <v>4533899.340000001</v>
      </c>
      <c r="E185" s="14">
        <v>4533899.34</v>
      </c>
      <c r="F185" s="12">
        <f t="shared" si="21"/>
        <v>99.99999999999997</v>
      </c>
    </row>
    <row r="186" spans="1:6" ht="34.5">
      <c r="A186" s="21" t="s">
        <v>216</v>
      </c>
      <c r="B186" s="31" t="s">
        <v>144</v>
      </c>
      <c r="C186" s="11">
        <f>C187+C192+C195+C198</f>
        <v>117771016.85</v>
      </c>
      <c r="D186" s="15">
        <f>D187+D198+D195+D192</f>
        <v>117418371.79</v>
      </c>
      <c r="E186" s="15">
        <f>E187+E198+E195+E192</f>
        <v>117411908.62</v>
      </c>
      <c r="F186" s="11">
        <f t="shared" si="21"/>
        <v>99.99449560583965</v>
      </c>
    </row>
    <row r="187" spans="1:6" ht="54">
      <c r="A187" s="23" t="s">
        <v>217</v>
      </c>
      <c r="B187" s="24" t="s">
        <v>115</v>
      </c>
      <c r="C187" s="12">
        <f>C188</f>
        <v>2242621.85</v>
      </c>
      <c r="D187" s="14">
        <f>D188</f>
        <v>1988826.65</v>
      </c>
      <c r="E187" s="14">
        <f>E188</f>
        <v>1982363.4800000002</v>
      </c>
      <c r="F187" s="12">
        <f t="shared" si="21"/>
        <v>99.67502597574305</v>
      </c>
    </row>
    <row r="188" spans="1:6" ht="54">
      <c r="A188" s="23" t="s">
        <v>218</v>
      </c>
      <c r="B188" s="24" t="s">
        <v>116</v>
      </c>
      <c r="C188" s="12">
        <f>SUM(C189:C191)</f>
        <v>2242621.85</v>
      </c>
      <c r="D188" s="14">
        <f>SUM(D189:D191)</f>
        <v>1988826.65</v>
      </c>
      <c r="E188" s="14">
        <f>SUM(E189:E191)</f>
        <v>1982363.4800000002</v>
      </c>
      <c r="F188" s="12">
        <f t="shared" si="21"/>
        <v>99.67502597574305</v>
      </c>
    </row>
    <row r="189" spans="1:6" ht="54">
      <c r="A189" s="23" t="s">
        <v>219</v>
      </c>
      <c r="B189" s="24" t="s">
        <v>145</v>
      </c>
      <c r="C189" s="12">
        <v>431562</v>
      </c>
      <c r="D189" s="14">
        <f>431562+3669.28+85.33</f>
        <v>435316.61000000004</v>
      </c>
      <c r="E189" s="14">
        <v>435316.61</v>
      </c>
      <c r="F189" s="12">
        <f t="shared" si="21"/>
        <v>99.99999999999999</v>
      </c>
    </row>
    <row r="190" spans="1:6" ht="54">
      <c r="A190" s="23" t="s">
        <v>220</v>
      </c>
      <c r="B190" s="24" t="s">
        <v>116</v>
      </c>
      <c r="C190" s="12">
        <v>1703670.63</v>
      </c>
      <c r="D190" s="14">
        <f>1703670.63-28055-229494.81</f>
        <v>1446120.8199999998</v>
      </c>
      <c r="E190" s="14">
        <v>1446120.82</v>
      </c>
      <c r="F190" s="12">
        <f t="shared" si="21"/>
        <v>100.00000000000003</v>
      </c>
    </row>
    <row r="191" spans="1:6" ht="54">
      <c r="A191" s="23" t="s">
        <v>221</v>
      </c>
      <c r="B191" s="24" t="s">
        <v>116</v>
      </c>
      <c r="C191" s="12">
        <v>107389.22</v>
      </c>
      <c r="D191" s="14">
        <v>107389.22</v>
      </c>
      <c r="E191" s="14">
        <v>100926.05</v>
      </c>
      <c r="F191" s="12">
        <f t="shared" si="21"/>
        <v>93.98154675115435</v>
      </c>
    </row>
    <row r="192" spans="1:6" ht="126">
      <c r="A192" s="23" t="s">
        <v>222</v>
      </c>
      <c r="B192" s="24" t="s">
        <v>202</v>
      </c>
      <c r="C192" s="12">
        <f aca="true" t="shared" si="28" ref="C192:E193">C193</f>
        <v>2146914</v>
      </c>
      <c r="D192" s="14">
        <f t="shared" si="28"/>
        <v>2128000</v>
      </c>
      <c r="E192" s="14">
        <f t="shared" si="28"/>
        <v>2128000</v>
      </c>
      <c r="F192" s="12">
        <f t="shared" si="21"/>
        <v>100</v>
      </c>
    </row>
    <row r="193" spans="1:6" ht="108">
      <c r="A193" s="23" t="s">
        <v>223</v>
      </c>
      <c r="B193" s="24" t="s">
        <v>201</v>
      </c>
      <c r="C193" s="12">
        <f t="shared" si="28"/>
        <v>2146914</v>
      </c>
      <c r="D193" s="14">
        <f t="shared" si="28"/>
        <v>2128000</v>
      </c>
      <c r="E193" s="14">
        <f t="shared" si="28"/>
        <v>2128000</v>
      </c>
      <c r="F193" s="12">
        <f t="shared" si="21"/>
        <v>100</v>
      </c>
    </row>
    <row r="194" spans="1:6" ht="108">
      <c r="A194" s="23" t="s">
        <v>224</v>
      </c>
      <c r="B194" s="24" t="s">
        <v>201</v>
      </c>
      <c r="C194" s="12">
        <v>2146914</v>
      </c>
      <c r="D194" s="14">
        <f>2146914-18914</f>
        <v>2128000</v>
      </c>
      <c r="E194" s="14">
        <v>2128000</v>
      </c>
      <c r="F194" s="12">
        <f t="shared" si="21"/>
        <v>100</v>
      </c>
    </row>
    <row r="195" spans="1:6" ht="90">
      <c r="A195" s="23" t="s">
        <v>225</v>
      </c>
      <c r="B195" s="24" t="s">
        <v>194</v>
      </c>
      <c r="C195" s="12">
        <f aca="true" t="shared" si="29" ref="C195:E196">C196</f>
        <v>5376</v>
      </c>
      <c r="D195" s="14">
        <f t="shared" si="29"/>
        <v>5376</v>
      </c>
      <c r="E195" s="14">
        <f t="shared" si="29"/>
        <v>5376</v>
      </c>
      <c r="F195" s="12">
        <f t="shared" si="21"/>
        <v>100</v>
      </c>
    </row>
    <row r="196" spans="1:6" ht="108">
      <c r="A196" s="23" t="s">
        <v>226</v>
      </c>
      <c r="B196" s="24" t="s">
        <v>195</v>
      </c>
      <c r="C196" s="12">
        <f t="shared" si="29"/>
        <v>5376</v>
      </c>
      <c r="D196" s="14">
        <f t="shared" si="29"/>
        <v>5376</v>
      </c>
      <c r="E196" s="14">
        <f t="shared" si="29"/>
        <v>5376</v>
      </c>
      <c r="F196" s="12">
        <f t="shared" si="21"/>
        <v>100</v>
      </c>
    </row>
    <row r="197" spans="1:6" ht="108">
      <c r="A197" s="23" t="s">
        <v>227</v>
      </c>
      <c r="B197" s="24" t="s">
        <v>195</v>
      </c>
      <c r="C197" s="12">
        <v>5376</v>
      </c>
      <c r="D197" s="14">
        <v>5376</v>
      </c>
      <c r="E197" s="14">
        <v>5376</v>
      </c>
      <c r="F197" s="12">
        <f t="shared" si="21"/>
        <v>100</v>
      </c>
    </row>
    <row r="198" spans="1:6" ht="18">
      <c r="A198" s="23" t="s">
        <v>228</v>
      </c>
      <c r="B198" s="24" t="s">
        <v>117</v>
      </c>
      <c r="C198" s="12">
        <f aca="true" t="shared" si="30" ref="C198:E199">C199</f>
        <v>113376105</v>
      </c>
      <c r="D198" s="14">
        <f t="shared" si="30"/>
        <v>113296169.14</v>
      </c>
      <c r="E198" s="14">
        <f t="shared" si="30"/>
        <v>113296169.14</v>
      </c>
      <c r="F198" s="12">
        <f t="shared" si="21"/>
        <v>100</v>
      </c>
    </row>
    <row r="199" spans="1:6" ht="36">
      <c r="A199" s="23" t="s">
        <v>229</v>
      </c>
      <c r="B199" s="24" t="s">
        <v>118</v>
      </c>
      <c r="C199" s="12">
        <f t="shared" si="30"/>
        <v>113376105</v>
      </c>
      <c r="D199" s="14">
        <f t="shared" si="30"/>
        <v>113296169.14</v>
      </c>
      <c r="E199" s="14">
        <f t="shared" si="30"/>
        <v>113296169.14</v>
      </c>
      <c r="F199" s="12">
        <f t="shared" si="21"/>
        <v>100</v>
      </c>
    </row>
    <row r="200" spans="1:6" ht="36">
      <c r="A200" s="23" t="s">
        <v>230</v>
      </c>
      <c r="B200" s="24" t="s">
        <v>119</v>
      </c>
      <c r="C200" s="12">
        <v>113376105</v>
      </c>
      <c r="D200" s="14">
        <f>113376105+212107.25+537124-829167.11</f>
        <v>113296169.14</v>
      </c>
      <c r="E200" s="14">
        <v>113296169.14</v>
      </c>
      <c r="F200" s="12">
        <f t="shared" si="21"/>
        <v>100</v>
      </c>
    </row>
    <row r="201" spans="1:6" ht="18">
      <c r="A201" s="21" t="s">
        <v>244</v>
      </c>
      <c r="B201" s="31" t="s">
        <v>240</v>
      </c>
      <c r="C201" s="11">
        <f>C202+C205</f>
        <v>0</v>
      </c>
      <c r="D201" s="15">
        <f>D202+D205</f>
        <v>649107.64</v>
      </c>
      <c r="E201" s="15">
        <f>E202+E205</f>
        <v>532264.8200000001</v>
      </c>
      <c r="F201" s="12">
        <f t="shared" si="21"/>
        <v>81.99946930219464</v>
      </c>
    </row>
    <row r="202" spans="1:6" ht="90">
      <c r="A202" s="23" t="s">
        <v>243</v>
      </c>
      <c r="B202" s="24" t="s">
        <v>241</v>
      </c>
      <c r="C202" s="12">
        <f aca="true" t="shared" si="31" ref="C202:E203">C203</f>
        <v>0</v>
      </c>
      <c r="D202" s="14">
        <f t="shared" si="31"/>
        <v>258507.64</v>
      </c>
      <c r="E202" s="14">
        <f t="shared" si="31"/>
        <v>141664.82</v>
      </c>
      <c r="F202" s="12">
        <f t="shared" si="21"/>
        <v>54.80101864687635</v>
      </c>
    </row>
    <row r="203" spans="1:6" ht="90">
      <c r="A203" s="23" t="s">
        <v>245</v>
      </c>
      <c r="B203" s="24" t="s">
        <v>242</v>
      </c>
      <c r="C203" s="12">
        <f t="shared" si="31"/>
        <v>0</v>
      </c>
      <c r="D203" s="14">
        <f t="shared" si="31"/>
        <v>258507.64</v>
      </c>
      <c r="E203" s="14">
        <f t="shared" si="31"/>
        <v>141664.82</v>
      </c>
      <c r="F203" s="12">
        <f t="shared" si="21"/>
        <v>54.80101864687635</v>
      </c>
    </row>
    <row r="204" spans="1:6" ht="90">
      <c r="A204" s="23" t="s">
        <v>246</v>
      </c>
      <c r="B204" s="24" t="s">
        <v>242</v>
      </c>
      <c r="C204" s="12">
        <v>0</v>
      </c>
      <c r="D204" s="14">
        <f>140181+116817.64+1509</f>
        <v>258507.64</v>
      </c>
      <c r="E204" s="14">
        <v>141664.82</v>
      </c>
      <c r="F204" s="12">
        <f t="shared" si="21"/>
        <v>54.80101864687635</v>
      </c>
    </row>
    <row r="205" spans="1:6" ht="72">
      <c r="A205" s="23" t="s">
        <v>346</v>
      </c>
      <c r="B205" s="24" t="s">
        <v>345</v>
      </c>
      <c r="C205" s="12">
        <f aca="true" t="shared" si="32" ref="C205:E206">C206</f>
        <v>0</v>
      </c>
      <c r="D205" s="14">
        <f t="shared" si="32"/>
        <v>390600</v>
      </c>
      <c r="E205" s="14">
        <f t="shared" si="32"/>
        <v>390600</v>
      </c>
      <c r="F205" s="12">
        <f t="shared" si="21"/>
        <v>100</v>
      </c>
    </row>
    <row r="206" spans="1:6" ht="90">
      <c r="A206" s="23" t="s">
        <v>343</v>
      </c>
      <c r="B206" s="24" t="s">
        <v>347</v>
      </c>
      <c r="C206" s="12">
        <f t="shared" si="32"/>
        <v>0</v>
      </c>
      <c r="D206" s="14">
        <f t="shared" si="32"/>
        <v>390600</v>
      </c>
      <c r="E206" s="14">
        <f t="shared" si="32"/>
        <v>390600</v>
      </c>
      <c r="F206" s="12">
        <f t="shared" si="21"/>
        <v>100</v>
      </c>
    </row>
    <row r="207" spans="1:6" ht="90">
      <c r="A207" s="23" t="s">
        <v>344</v>
      </c>
      <c r="B207" s="24" t="s">
        <v>347</v>
      </c>
      <c r="C207" s="12">
        <v>0</v>
      </c>
      <c r="D207" s="14">
        <v>390600</v>
      </c>
      <c r="E207" s="14">
        <v>390600</v>
      </c>
      <c r="F207" s="12">
        <f t="shared" si="21"/>
        <v>100</v>
      </c>
    </row>
    <row r="208" spans="1:6" ht="51.75">
      <c r="A208" s="21" t="s">
        <v>264</v>
      </c>
      <c r="B208" s="31" t="s">
        <v>325</v>
      </c>
      <c r="C208" s="11">
        <f>C209</f>
        <v>0</v>
      </c>
      <c r="D208" s="15">
        <f aca="true" t="shared" si="33" ref="D208:E210">D209</f>
        <v>70600</v>
      </c>
      <c r="E208" s="15">
        <f t="shared" si="33"/>
        <v>70600</v>
      </c>
      <c r="F208" s="11">
        <f t="shared" si="21"/>
        <v>100</v>
      </c>
    </row>
    <row r="209" spans="1:6" ht="54">
      <c r="A209" s="23" t="s">
        <v>265</v>
      </c>
      <c r="B209" s="24" t="s">
        <v>326</v>
      </c>
      <c r="C209" s="12">
        <f>C210</f>
        <v>0</v>
      </c>
      <c r="D209" s="14">
        <f t="shared" si="33"/>
        <v>70600</v>
      </c>
      <c r="E209" s="14">
        <f t="shared" si="33"/>
        <v>70600</v>
      </c>
      <c r="F209" s="12">
        <f t="shared" si="21"/>
        <v>100</v>
      </c>
    </row>
    <row r="210" spans="1:6" ht="90">
      <c r="A210" s="23" t="s">
        <v>266</v>
      </c>
      <c r="B210" s="24" t="s">
        <v>327</v>
      </c>
      <c r="C210" s="12">
        <f>C211</f>
        <v>0</v>
      </c>
      <c r="D210" s="14">
        <f t="shared" si="33"/>
        <v>70600</v>
      </c>
      <c r="E210" s="14">
        <f t="shared" si="33"/>
        <v>70600</v>
      </c>
      <c r="F210" s="12">
        <f t="shared" si="21"/>
        <v>100</v>
      </c>
    </row>
    <row r="211" spans="1:6" ht="90">
      <c r="A211" s="23" t="s">
        <v>267</v>
      </c>
      <c r="B211" s="24" t="s">
        <v>327</v>
      </c>
      <c r="C211" s="12">
        <v>0</v>
      </c>
      <c r="D211" s="14">
        <v>70600</v>
      </c>
      <c r="E211" s="14">
        <v>70600</v>
      </c>
      <c r="F211" s="12">
        <f t="shared" si="21"/>
        <v>100</v>
      </c>
    </row>
    <row r="212" spans="1:6" ht="87">
      <c r="A212" s="21" t="s">
        <v>268</v>
      </c>
      <c r="B212" s="22" t="s">
        <v>269</v>
      </c>
      <c r="C212" s="11">
        <f aca="true" t="shared" si="34" ref="C212:E213">C213</f>
        <v>0</v>
      </c>
      <c r="D212" s="15">
        <f t="shared" si="34"/>
        <v>-6236.110000000001</v>
      </c>
      <c r="E212" s="15">
        <f t="shared" si="34"/>
        <v>-6236.110000000001</v>
      </c>
      <c r="F212" s="12">
        <f t="shared" si="21"/>
        <v>100</v>
      </c>
    </row>
    <row r="213" spans="1:6" ht="90">
      <c r="A213" s="23" t="s">
        <v>270</v>
      </c>
      <c r="B213" s="24" t="s">
        <v>271</v>
      </c>
      <c r="C213" s="12">
        <f t="shared" si="34"/>
        <v>0</v>
      </c>
      <c r="D213" s="14">
        <f t="shared" si="34"/>
        <v>-6236.110000000001</v>
      </c>
      <c r="E213" s="14">
        <f t="shared" si="34"/>
        <v>-6236.110000000001</v>
      </c>
      <c r="F213" s="12">
        <f t="shared" si="21"/>
        <v>100</v>
      </c>
    </row>
    <row r="214" spans="1:6" ht="90">
      <c r="A214" s="23" t="s">
        <v>272</v>
      </c>
      <c r="B214" s="24" t="s">
        <v>273</v>
      </c>
      <c r="C214" s="12">
        <f>SUM(C215:C216)</f>
        <v>0</v>
      </c>
      <c r="D214" s="14">
        <f>SUM(D215:D216)</f>
        <v>-6236.110000000001</v>
      </c>
      <c r="E214" s="14">
        <f>SUM(E215:E216)</f>
        <v>-6236.110000000001</v>
      </c>
      <c r="F214" s="12">
        <f t="shared" si="21"/>
        <v>100</v>
      </c>
    </row>
    <row r="215" spans="1:6" ht="72">
      <c r="A215" s="23" t="s">
        <v>274</v>
      </c>
      <c r="B215" s="24" t="s">
        <v>322</v>
      </c>
      <c r="C215" s="12">
        <v>0</v>
      </c>
      <c r="D215" s="14">
        <v>-2620.5</v>
      </c>
      <c r="E215" s="14">
        <v>-2620.5</v>
      </c>
      <c r="F215" s="12">
        <f t="shared" si="21"/>
        <v>100</v>
      </c>
    </row>
    <row r="216" spans="1:6" ht="78" customHeight="1">
      <c r="A216" s="23" t="s">
        <v>313</v>
      </c>
      <c r="B216" s="24" t="s">
        <v>323</v>
      </c>
      <c r="C216" s="12">
        <v>0</v>
      </c>
      <c r="D216" s="14">
        <v>-3615.61</v>
      </c>
      <c r="E216" s="14">
        <v>-3615.61</v>
      </c>
      <c r="F216" s="12">
        <f>SUM(E216/D216*100)</f>
        <v>100</v>
      </c>
    </row>
    <row r="217" spans="1:6" ht="36" customHeight="1">
      <c r="A217" s="52" t="s">
        <v>328</v>
      </c>
      <c r="B217" s="53"/>
      <c r="C217" s="43">
        <f>C18+C166</f>
        <v>301920698.26</v>
      </c>
      <c r="D217" s="11">
        <f>D18+D166</f>
        <v>321387672.58</v>
      </c>
      <c r="E217" s="11">
        <f>E18+E166</f>
        <v>324529897.01</v>
      </c>
      <c r="F217" s="11">
        <f>SUM(E217/D217*100)</f>
        <v>100.97770533784795</v>
      </c>
    </row>
    <row r="218" spans="4:6" ht="18">
      <c r="D218" s="4"/>
      <c r="F218" s="4"/>
    </row>
    <row r="219" ht="18">
      <c r="D219" s="9"/>
    </row>
    <row r="221" ht="18">
      <c r="D221" s="9"/>
    </row>
    <row r="222" ht="18">
      <c r="E222" s="10"/>
    </row>
  </sheetData>
  <sheetProtection/>
  <mergeCells count="17">
    <mergeCell ref="C14:C16"/>
    <mergeCell ref="A13:A16"/>
    <mergeCell ref="B13:B16"/>
    <mergeCell ref="D14:D16"/>
    <mergeCell ref="D7:F7"/>
    <mergeCell ref="D3:F3"/>
    <mergeCell ref="A217:B217"/>
    <mergeCell ref="A12:F12"/>
    <mergeCell ref="D8:F8"/>
    <mergeCell ref="E13:E16"/>
    <mergeCell ref="F13:F16"/>
    <mergeCell ref="C13:D13"/>
    <mergeCell ref="D1:F1"/>
    <mergeCell ref="D2:F2"/>
    <mergeCell ref="D4:F4"/>
    <mergeCell ref="D5:F5"/>
    <mergeCell ref="D6:F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2020-03-10T08:02:44Z</cp:lastPrinted>
  <dcterms:created xsi:type="dcterms:W3CDTF">2009-08-21T08:27:43Z</dcterms:created>
  <dcterms:modified xsi:type="dcterms:W3CDTF">2020-03-10T08:11:11Z</dcterms:modified>
  <cp:category/>
  <cp:version/>
  <cp:contentType/>
  <cp:contentStatus/>
</cp:coreProperties>
</file>