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317" i="1"/>
  <c r="D316"/>
  <c r="D351" l="1"/>
  <c r="D352"/>
  <c r="D350"/>
  <c r="D334"/>
  <c r="D292"/>
  <c r="D268"/>
  <c r="D226"/>
  <c r="D219"/>
  <c r="D220"/>
  <c r="D214"/>
  <c r="D187"/>
  <c r="D179"/>
  <c r="D169"/>
  <c r="D107"/>
  <c r="D29"/>
  <c r="D341" l="1"/>
  <c r="D256"/>
  <c r="D154"/>
  <c r="D74"/>
  <c r="D44"/>
  <c r="D31"/>
  <c r="D30"/>
  <c r="D111" l="1"/>
  <c r="D295" l="1"/>
  <c r="D264"/>
  <c r="D260"/>
  <c r="D255"/>
  <c r="D172"/>
  <c r="D75"/>
  <c r="D70"/>
  <c r="D45"/>
  <c r="D165" l="1"/>
  <c r="D310" l="1"/>
  <c r="D307" l="1"/>
  <c r="D306" s="1"/>
  <c r="D293"/>
  <c r="D230"/>
  <c r="D197"/>
  <c r="D98"/>
  <c r="D80"/>
  <c r="D146" l="1"/>
  <c r="D152" l="1"/>
  <c r="D182" l="1"/>
  <c r="D90"/>
  <c r="D89"/>
  <c r="D43"/>
  <c r="D263" l="1"/>
  <c r="D233"/>
  <c r="D148"/>
  <c r="D138"/>
  <c r="D122"/>
  <c r="D69"/>
  <c r="D62"/>
  <c r="D61"/>
  <c r="D361" l="1"/>
  <c r="D360"/>
  <c r="D178"/>
  <c r="D375" l="1"/>
  <c r="D315"/>
  <c r="D278"/>
  <c r="D291"/>
  <c r="D284"/>
  <c r="D283" s="1"/>
  <c r="D215"/>
  <c r="D164"/>
  <c r="D163"/>
  <c r="D134"/>
  <c r="D133" s="1"/>
  <c r="D60"/>
  <c r="D239" l="1"/>
  <c r="D238"/>
  <c r="D229" l="1"/>
  <c r="D84" l="1"/>
  <c r="D347" l="1"/>
  <c r="D346"/>
  <c r="D345"/>
  <c r="D289"/>
  <c r="D147"/>
  <c r="D143"/>
  <c r="D142"/>
  <c r="D119"/>
  <c r="D71"/>
  <c r="D58"/>
  <c r="D57"/>
  <c r="D141" l="1"/>
  <c r="D162"/>
  <c r="D314"/>
  <c r="D118"/>
  <c r="D113"/>
  <c r="D112" s="1"/>
  <c r="D97"/>
  <c r="D83"/>
  <c r="D373" l="1"/>
  <c r="D349"/>
  <c r="D313"/>
  <c r="D311"/>
  <c r="D309" s="1"/>
  <c r="D305" s="1"/>
  <c r="D304"/>
  <c r="D299"/>
  <c r="D297" s="1"/>
  <c r="D216"/>
  <c r="D200"/>
  <c r="D199"/>
  <c r="D193"/>
  <c r="D174"/>
  <c r="D173" s="1"/>
  <c r="D153"/>
  <c r="D150" s="1"/>
  <c r="D120"/>
  <c r="D117" s="1"/>
  <c r="D106"/>
  <c r="D92"/>
  <c r="D76"/>
  <c r="D52"/>
  <c r="D50"/>
  <c r="D79"/>
  <c r="D34"/>
  <c r="D42" l="1"/>
  <c r="D344"/>
  <c r="D290"/>
  <c r="D269"/>
  <c r="D254"/>
  <c r="D213"/>
  <c r="D212" s="1"/>
  <c r="D127"/>
  <c r="D126"/>
  <c r="D54"/>
  <c r="D53" s="1"/>
  <c r="D28"/>
  <c r="D267" l="1"/>
  <c r="D131"/>
  <c r="D362" l="1"/>
  <c r="D189" l="1"/>
  <c r="D194"/>
  <c r="D192" s="1"/>
  <c r="D186"/>
  <c r="D294"/>
  <c r="D198"/>
  <c r="D302"/>
  <c r="D161"/>
  <c r="D253"/>
  <c r="D359"/>
  <c r="D259"/>
  <c r="D185" l="1"/>
  <c r="D237"/>
  <c r="D277" l="1"/>
  <c r="D228"/>
  <c r="D223"/>
  <c r="D218"/>
  <c r="D217" s="1"/>
  <c r="D335" l="1"/>
  <c r="D329" l="1"/>
  <c r="D320"/>
  <c r="D328" l="1"/>
  <c r="D110" l="1"/>
  <c r="D262" l="1"/>
  <c r="D181" l="1"/>
  <c r="D180" l="1"/>
  <c r="D202" l="1"/>
  <c r="D358" l="1"/>
  <c r="D88" l="1"/>
  <c r="D37" l="1"/>
  <c r="D339" l="1"/>
  <c r="D167"/>
  <c r="D338" l="1"/>
  <c r="D109"/>
  <c r="D94"/>
  <c r="D337" l="1"/>
  <c r="D41"/>
  <c r="D333"/>
  <c r="D325"/>
  <c r="D319"/>
  <c r="D288"/>
  <c r="D281"/>
  <c r="D275"/>
  <c r="D272"/>
  <c r="D261"/>
  <c r="D258"/>
  <c r="D252"/>
  <c r="D247"/>
  <c r="D209"/>
  <c r="D206"/>
  <c r="D201"/>
  <c r="D196"/>
  <c r="D177"/>
  <c r="D171"/>
  <c r="D166" s="1"/>
  <c r="D160"/>
  <c r="D158"/>
  <c r="D137"/>
  <c r="D130"/>
  <c r="D124"/>
  <c r="D105"/>
  <c r="D101"/>
  <c r="D93"/>
  <c r="D91"/>
  <c r="D35"/>
  <c r="D139" l="1"/>
  <c r="D343"/>
  <c r="D324"/>
  <c r="D301"/>
  <c r="D280"/>
  <c r="D266"/>
  <c r="D257"/>
  <c r="D246"/>
  <c r="D236"/>
  <c r="D222"/>
  <c r="D211"/>
  <c r="D208"/>
  <c r="D205"/>
  <c r="D176"/>
  <c r="D136"/>
  <c r="D132"/>
  <c r="D129"/>
  <c r="D123"/>
  <c r="D116"/>
  <c r="D104"/>
  <c r="D100"/>
  <c r="D78"/>
  <c r="D184"/>
  <c r="D195"/>
  <c r="D271"/>
  <c r="D332"/>
  <c r="D287"/>
  <c r="D87"/>
  <c r="D27"/>
  <c r="D270" l="1"/>
  <c r="D286"/>
  <c r="D26"/>
  <c r="D245"/>
  <c r="D331"/>
  <c r="D318"/>
  <c r="D265"/>
  <c r="D221"/>
  <c r="D115"/>
  <c r="D183"/>
  <c r="D377" l="1"/>
</calcChain>
</file>

<file path=xl/sharedStrings.xml><?xml version="1.0" encoding="utf-8"?>
<sst xmlns="http://schemas.openxmlformats.org/spreadsheetml/2006/main" count="728" uniqueCount="683">
  <si>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</si>
  <si>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</si>
  <si>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</si>
  <si>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</si>
  <si>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</si>
  <si>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</si>
  <si>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</si>
  <si>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</si>
  <si>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</si>
  <si>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</si>
  <si>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</si>
  <si>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</si>
  <si>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</si>
  <si>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</si>
  <si>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</si>
  <si>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</si>
  <si>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</si>
  <si>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</si>
  <si>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</si>
  <si>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</si>
  <si>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</si>
  <si>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</si>
  <si>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</si>
  <si>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</si>
  <si>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</si>
  <si>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</si>
  <si>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</si>
  <si>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</si>
  <si>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</si>
  <si>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</si>
  <si>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</si>
  <si>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</si>
  <si>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</si>
  <si>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</si>
  <si>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</si>
  <si>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</si>
  <si>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</si>
  <si>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</si>
  <si>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</si>
  <si>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</si>
  <si>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</si>
  <si>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</si>
  <si>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</si>
  <si>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</si>
  <si>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</si>
  <si>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</si>
  <si>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</si>
  <si>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</si>
  <si>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</si>
  <si>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</si>
  <si>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</si>
  <si>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</si>
  <si>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</si>
  <si>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</si>
  <si>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</si>
  <si>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</si>
  <si>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</si>
  <si>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</si>
  <si>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</si>
  <si>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</si>
  <si>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</si>
  <si>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</si>
  <si>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</si>
  <si>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</si>
  <si>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</si>
  <si>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</si>
  <si>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</si>
  <si>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</si>
  <si>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</si>
  <si>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</si>
  <si>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</si>
  <si>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</si>
  <si>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</si>
  <si>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</si>
  <si>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</si>
  <si>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</si>
  <si>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</si>
  <si>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</si>
  <si>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</si>
  <si>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</si>
  <si>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</si>
  <si>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</si>
  <si>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</si>
  <si>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</si>
  <si>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</si>
  <si>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</si>
  <si>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</si>
  <si>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</si>
  <si>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</si>
  <si>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</si>
  <si>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</si>
  <si>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</si>
  <si>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</si>
  <si>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</si>
  <si>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</si>
  <si>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</si>
  <si>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</si>
  <si>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</si>
  <si>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</si>
  <si>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</si>
  <si>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</si>
  <si>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</si>
  <si>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</si>
  <si>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</si>
  <si>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</si>
  <si>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</si>
  <si>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</si>
  <si>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</si>
  <si>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</si>
  <si>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</si>
  <si>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</si>
  <si>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</si>
  <si>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</si>
  <si>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</si>
  <si>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</si>
  <si>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</si>
  <si>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</si>
  <si>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</si>
  <si>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</si>
  <si>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</si>
  <si>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</si>
  <si>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</si>
  <si>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</si>
  <si>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</si>
  <si>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</si>
  <si>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</si>
  <si>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</si>
  <si>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</si>
  <si>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</si>
  <si>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</si>
  <si>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</si>
  <si>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</si>
  <si>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</si>
  <si>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</si>
  <si>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</si>
  <si>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</si>
  <si>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</si>
  <si>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</si>
  <si>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</si>
  <si>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</si>
  <si>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</si>
  <si>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</si>
  <si>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</si>
  <si>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</si>
  <si>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</si>
  <si>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</si>
  <si>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</si>
  <si>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</si>
  <si>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</si>
  <si>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</si>
  <si>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</si>
  <si>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</si>
  <si>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</si>
  <si>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</si>
  <si>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</si>
  <si>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</si>
  <si>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</si>
  <si>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</si>
  <si>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</si>
  <si>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</si>
  <si>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</si>
  <si>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</si>
  <si>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</si>
  <si>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</si>
  <si>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</si>
  <si>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</si>
  <si>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</si>
  <si>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</si>
  <si>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</si>
  <si>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</si>
  <si>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</si>
  <si>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</si>
  <si>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</si>
  <si>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</si>
  <si>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</si>
  <si>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</si>
  <si>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</si>
  <si>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</si>
  <si>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</si>
  <si>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</si>
  <si>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</si>
  <si>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</si>
  <si>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</si>
  <si>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</si>
  <si>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</si>
  <si>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</si>
  <si>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</si>
  <si>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</si>
  <si>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</si>
  <si>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</si>
  <si>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</si>
  <si>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</si>
  <si>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</si>
  <si>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</si>
  <si>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</si>
  <si>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</si>
  <si>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</si>
  <si>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</si>
  <si>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</si>
  <si>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</si>
  <si>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</si>
  <si>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</si>
  <si>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</si>
  <si>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</si>
  <si>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</si>
  <si>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</si>
  <si>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</si>
  <si>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</si>
  <si>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</si>
  <si>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</si>
  <si>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</si>
  <si>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</si>
  <si>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</si>
  <si>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</si>
  <si>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</si>
  <si>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</si>
  <si>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</si>
  <si>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</si>
  <si>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</si>
  <si>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</si>
  <si>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</si>
  <si>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</si>
  <si>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</si>
  <si>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</si>
  <si>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</si>
  <si>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</si>
  <si>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</si>
  <si>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</si>
  <si>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</si>
  <si>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</si>
  <si>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</si>
  <si>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</si>
  <si>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</si>
  <si>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</si>
  <si>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</si>
  <si>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</si>
  <si>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</si>
  <si>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</si>
  <si>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</si>
  <si>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</si>
  <si>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</si>
  <si>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</si>
  <si>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</si>
  <si>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</si>
  <si>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</si>
  <si>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</si>
  <si>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</si>
  <si>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</si>
  <si>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</si>
  <si>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</si>
  <si>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</si>
  <si>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</si>
  <si>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</si>
  <si>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</si>
  <si>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</si>
  <si>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</si>
  <si>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</si>
  <si>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</si>
  <si>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</si>
  <si>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</si>
  <si>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</si>
  <si>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</si>
  <si>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</si>
  <si>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</si>
  <si>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</si>
  <si>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</si>
  <si>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</si>
  <si>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</si>
  <si>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</si>
  <si>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</si>
  <si>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</si>
  <si>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</si>
  <si>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</si>
  <si>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</si>
  <si>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</si>
  <si>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</si>
  <si>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</si>
  <si>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</si>
  <si>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</si>
  <si>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</si>
  <si>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</si>
  <si>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</si>
  <si>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</si>
  <si>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</si>
  <si>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</si>
  <si>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</si>
  <si>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</si>
  <si>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</si>
  <si>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</si>
  <si>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</si>
  <si>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</si>
  <si>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</si>
  <si>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</si>
  <si>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</si>
  <si>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</si>
  <si>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</si>
  <si>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</si>
  <si>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</si>
  <si>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</si>
  <si>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</si>
  <si>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</si>
  <si>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</si>
  <si>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</si>
  <si>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</si>
  <si>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</si>
  <si>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</si>
  <si>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</si>
  <si>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</si>
  <si>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</si>
  <si>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</si>
  <si>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</si>
  <si>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</si>
  <si>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</si>
  <si>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</si>
  <si>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</si>
  <si>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</si>
  <si>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</si>
  <si>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</si>
  <si>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</si>
  <si>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</si>
  <si>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</si>
  <si>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</si>
  <si>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</si>
  <si>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</si>
  <si>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</si>
  <si>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</si>
  <si>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</si>
  <si>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</si>
  <si>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</si>
  <si>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</si>
  <si>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</si>
  <si>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</si>
  <si>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</si>
  <si>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</si>
  <si>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</si>
  <si>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</si>
  <si>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</si>
  <si>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</si>
  <si>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</si>
  <si>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</si>
  <si>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</si>
  <si>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</si>
  <si>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</si>
  <si>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</si>
  <si>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</si>
  <si>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</si>
  <si>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</si>
  <si>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</si>
  <si>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</si>
  <si>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</si>
  <si>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</si>
  <si>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</si>
  <si>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</si>
  <si>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</si>
  <si>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</si>
  <si>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</si>
  <si>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</si>
  <si>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</si>
  <si>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</si>
  <si>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</si>
  <si>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</si>
  <si>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</si>
  <si>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</si>
  <si>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</si>
  <si>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</si>
  <si>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</si>
  <si>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</si>
  <si>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</si>
  <si>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</si>
  <si>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</si>
  <si>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</si>
  <si>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</si>
  <si>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</si>
  <si>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</si>
  <si>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</si>
  <si>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</si>
  <si>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</si>
  <si>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</si>
  <si>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</si>
  <si>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</si>
  <si>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</si>
  <si>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</si>
  <si>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</si>
  <si>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</si>
  <si>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</si>
  <si>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</si>
  <si>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</si>
  <si>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</si>
  <si>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</si>
  <si>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</si>
  <si>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</si>
  <si>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</si>
  <si>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</si>
  <si>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</si>
  <si>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</si>
  <si>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</si>
  <si>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</si>
  <si>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</si>
  <si>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</si>
  <si>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</si>
  <si>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</si>
  <si>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</si>
  <si>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</si>
  <si>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</si>
  <si>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</si>
  <si>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</si>
  <si>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</si>
  <si>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</si>
  <si>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</si>
  <si>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</si>
  <si>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</si>
  <si>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</si>
  <si>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</si>
  <si>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</si>
  <si>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</si>
  <si>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</si>
  <si>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</si>
  <si>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</si>
  <si>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</si>
  <si>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</si>
  <si>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</si>
  <si>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</si>
  <si>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</si>
  <si>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</si>
  <si>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</si>
  <si>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</si>
  <si>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</si>
  <si>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</si>
  <si>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</si>
  <si>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</si>
  <si>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</si>
  <si>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</si>
  <si>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</si>
  <si>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</si>
  <si>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</si>
  <si>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</si>
  <si>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</si>
  <si>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</si>
  <si>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</si>
  <si>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</si>
  <si>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</si>
  <si>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</si>
  <si>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</si>
  <si>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</si>
  <si>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</si>
  <si>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</si>
  <si>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</si>
  <si>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</si>
  <si>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</si>
  <si>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</si>
  <si>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</si>
  <si>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</si>
  <si>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</si>
  <si>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</si>
  <si>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</si>
  <si>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</si>
  <si>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</si>
  <si>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</si>
  <si>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</si>
  <si>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</si>
  <si>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</si>
  <si>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</si>
  <si>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</si>
  <si>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</si>
  <si>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</si>
  <si>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</si>
  <si>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</si>
  <si>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</si>
  <si>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</si>
  <si>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</si>
  <si>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</si>
  <si>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</si>
  <si>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</si>
  <si>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</si>
  <si>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</si>
  <si>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</si>
  <si>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</si>
  <si>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</si>
  <si>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</si>
  <si>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</si>
  <si>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</si>
  <si>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</si>
  <si>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</si>
  <si>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</si>
  <si>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</si>
  <si>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</si>
  <si>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</si>
  <si>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</si>
  <si>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</si>
  <si>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</si>
  <si>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</si>
  <si>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</si>
  <si>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</si>
  <si>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</si>
  <si>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</si>
  <si>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</si>
  <si>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</si>
  <si>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</si>
  <si>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</si>
  <si>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</si>
  <si>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</si>
  <si>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</si>
  <si>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</si>
  <si>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</si>
  <si>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</si>
  <si>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</si>
  <si>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</si>
  <si>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</si>
  <si>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</si>
  <si>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</si>
  <si>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</si>
  <si>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</si>
  <si>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</si>
  <si>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</si>
  <si>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</si>
  <si>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</si>
  <si>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</si>
  <si>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</si>
  <si>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</si>
  <si>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</si>
  <si>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</si>
  <si>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</si>
  <si>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</si>
  <si>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</si>
  <si>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</si>
  <si>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</si>
  <si>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</si>
  <si>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</si>
  <si>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</si>
  <si>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</si>
  <si>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</si>
  <si>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</si>
  <si>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</si>
  <si>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</si>
  <si>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</si>
  <si>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</si>
  <si>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</si>
  <si>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</si>
  <si>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</si>
  <si>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</si>
  <si>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</si>
  <si>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</si>
  <si>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</si>
  <si>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</si>
  <si>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</si>
  <si>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</si>
  <si>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</si>
  <si>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</si>
  <si>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</si>
  <si>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</si>
  <si>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</si>
  <si>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</si>
  <si>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</si>
  <si>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</si>
  <si>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</si>
  <si>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</si>
  <si>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</si>
  <si>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</si>
  <si>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</si>
  <si>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</si>
  <si>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</si>
  <si>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</si>
  <si>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</si>
  <si>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</si>
  <si>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</si>
  <si>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</si>
  <si>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</si>
  <si>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</si>
  <si>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</si>
  <si>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</si>
  <si>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</si>
  <si>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</si>
  <si>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</si>
  <si>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</si>
  <si>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</si>
  <si>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</si>
  <si>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</si>
  <si>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</si>
  <si>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</si>
  <si>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</si>
  <si>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</si>
  <si>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</si>
  <si>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</si>
  <si>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</si>
  <si>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</si>
  <si>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</si>
  <si>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</si>
  <si>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</si>
  <si>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</si>
  <si>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</si>
  <si>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</si>
  <si>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</si>
  <si>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</si>
  <si>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</si>
  <si>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</si>
  <si>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</si>
  <si>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</si>
  <si>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</si>
  <si>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</si>
  <si>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</si>
  <si>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</si>
  <si>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</si>
  <si>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</si>
  <si>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</si>
  <si>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</si>
  <si>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</si>
  <si>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</si>
  <si>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</si>
  <si>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</si>
  <si>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</si>
  <si>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</si>
  <si>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</si>
  <si>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</si>
  <si>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</si>
  <si>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</si>
  <si>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</si>
  <si>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</si>
  <si>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</si>
  <si>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</si>
  <si>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</si>
  <si>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</si>
  <si>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</si>
  <si>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</si>
  <si>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</si>
  <si>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</si>
  <si>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</si>
  <si>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</si>
  <si>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</si>
  <si>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</si>
  <si>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</si>
  <si>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</si>
  <si>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</si>
  <si>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</si>
  <si>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</si>
  <si>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</si>
  <si>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</si>
  <si>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</si>
  <si>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</si>
  <si>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</si>
  <si>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</si>
  <si>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</si>
  <si>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</si>
  <si>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</si>
  <si>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</si>
  <si>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</si>
  <si>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</si>
  <si>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</si>
  <si>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</si>
  <si>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</si>
  <si>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</si>
  <si>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</si>
  <si>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</si>
  <si>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</si>
  <si>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</si>
  <si>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</si>
  <si>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</si>
  <si>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</si>
  <si>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</si>
  <si>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</si>
  <si>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</si>
  <si>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</si>
  <si>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</si>
  <si>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</si>
  <si>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</si>
  <si>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</si>
  <si>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</si>
  <si>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</si>
  <si>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</si>
  <si>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</si>
  <si>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</si>
  <si>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</si>
  <si>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</si>
  <si>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</si>
  <si>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Приложение № 4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</si>
  <si>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</si>
  <si>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</si>
  <si>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</si>
  <si>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</si>
  <si>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</si>
  <si>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</si>
  <si>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</si>
  <si>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 xml:space="preserve">Ремонт опор под наземный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</si>
  <si>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от 23.10.2020 № 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</si>
</sst>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5"/>
  <sheetViews>
    <sheetView tabSelected="1" zoomScale="90" zoomScaleNormal="90" workbookViewId="0">
      <selection activeCell="B12" sqref="B12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>
      <c r="B1" s="48" t="s">
        <v>673</v>
      </c>
      <c r="C1" s="48"/>
      <c r="D1" s="48"/>
    </row>
    <row r="2" spans="1:6">
      <c r="B2" s="48" t="s">
        <v>145</v>
      </c>
      <c r="C2" s="48"/>
      <c r="D2" s="48"/>
    </row>
    <row r="3" spans="1:6">
      <c r="B3" s="48" t="s">
        <v>146</v>
      </c>
      <c r="C3" s="48"/>
      <c r="D3" s="48"/>
    </row>
    <row r="4" spans="1:6">
      <c r="B4" s="48" t="s">
        <v>539</v>
      </c>
      <c r="C4" s="48"/>
      <c r="D4" s="48"/>
    </row>
    <row r="5" spans="1:6">
      <c r="B5" s="48" t="s">
        <v>540</v>
      </c>
      <c r="C5" s="48"/>
      <c r="D5" s="48"/>
    </row>
    <row r="6" spans="1:6">
      <c r="B6" s="48" t="s">
        <v>146</v>
      </c>
      <c r="C6" s="48"/>
      <c r="D6" s="48"/>
    </row>
    <row r="7" spans="1:6">
      <c r="B7" s="48" t="s">
        <v>541</v>
      </c>
      <c r="C7" s="48"/>
      <c r="D7" s="48"/>
    </row>
    <row r="8" spans="1:6">
      <c r="B8" s="48" t="s">
        <v>542</v>
      </c>
      <c r="C8" s="48"/>
      <c r="D8" s="48"/>
    </row>
    <row r="9" spans="1:6">
      <c r="B9" s="48" t="s">
        <v>543</v>
      </c>
      <c r="C9" s="48"/>
      <c r="D9" s="48"/>
    </row>
    <row r="10" spans="1:6">
      <c r="B10" s="48" t="s">
        <v>544</v>
      </c>
      <c r="C10" s="48"/>
      <c r="D10" s="48"/>
    </row>
    <row r="11" spans="1:6">
      <c r="A11" s="16"/>
      <c r="B11" s="45" t="s">
        <v>682</v>
      </c>
      <c r="C11" s="45"/>
      <c r="D11" s="45"/>
    </row>
    <row r="12" spans="1:6">
      <c r="A12" s="16"/>
      <c r="B12" s="16"/>
      <c r="C12" s="17"/>
      <c r="D12" s="16"/>
    </row>
    <row r="13" spans="1:6">
      <c r="A13" s="16"/>
      <c r="B13" s="42" t="s">
        <v>545</v>
      </c>
      <c r="C13" s="42"/>
      <c r="D13" s="42"/>
      <c r="E13" s="12"/>
      <c r="F13" s="12"/>
    </row>
    <row r="14" spans="1:6">
      <c r="A14" s="16"/>
      <c r="B14" s="42" t="s">
        <v>145</v>
      </c>
      <c r="C14" s="42"/>
      <c r="D14" s="42"/>
      <c r="E14" s="12"/>
      <c r="F14" s="12"/>
    </row>
    <row r="15" spans="1:6">
      <c r="A15" s="16"/>
      <c r="B15" s="42" t="s">
        <v>146</v>
      </c>
      <c r="C15" s="42"/>
      <c r="D15" s="42"/>
      <c r="E15" s="12"/>
      <c r="F15" s="12"/>
    </row>
    <row r="16" spans="1:6">
      <c r="A16" s="16"/>
      <c r="B16" s="45" t="s">
        <v>147</v>
      </c>
      <c r="C16" s="45"/>
      <c r="D16" s="45"/>
      <c r="E16" s="13"/>
      <c r="F16" s="13"/>
    </row>
    <row r="17" spans="1:6">
      <c r="A17" s="16"/>
      <c r="B17" s="45" t="s">
        <v>148</v>
      </c>
      <c r="C17" s="45"/>
      <c r="D17" s="45"/>
      <c r="E17" s="13"/>
      <c r="F17" s="13"/>
    </row>
    <row r="18" spans="1:6">
      <c r="A18" s="16"/>
      <c r="B18" s="45" t="s">
        <v>475</v>
      </c>
      <c r="C18" s="45"/>
      <c r="D18" s="45"/>
      <c r="E18" s="13"/>
      <c r="F18" s="13"/>
    </row>
    <row r="19" spans="1:6">
      <c r="A19" s="16"/>
      <c r="B19" s="45" t="s">
        <v>476</v>
      </c>
      <c r="C19" s="45"/>
      <c r="D19" s="45"/>
      <c r="E19" s="13"/>
      <c r="F19" s="13"/>
    </row>
    <row r="20" spans="1:6" ht="18.75" customHeight="1">
      <c r="A20" s="16"/>
      <c r="B20" s="46" t="s">
        <v>538</v>
      </c>
      <c r="C20" s="46"/>
      <c r="D20" s="46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3" t="s">
        <v>477</v>
      </c>
      <c r="B22" s="43"/>
      <c r="C22" s="43"/>
      <c r="D22" s="43"/>
      <c r="E22" s="11"/>
      <c r="F22" s="11"/>
    </row>
    <row r="23" spans="1:6" ht="18.75" customHeight="1">
      <c r="A23" s="44" t="s">
        <v>142</v>
      </c>
      <c r="B23" s="44" t="s">
        <v>143</v>
      </c>
      <c r="C23" s="44" t="s">
        <v>144</v>
      </c>
      <c r="D23" s="47" t="s">
        <v>478</v>
      </c>
    </row>
    <row r="24" spans="1:6" ht="74.25" customHeight="1">
      <c r="A24" s="44"/>
      <c r="B24" s="44"/>
      <c r="C24" s="44"/>
      <c r="D24" s="47"/>
    </row>
    <row r="25" spans="1:6">
      <c r="A25" s="21">
        <v>1</v>
      </c>
      <c r="B25" s="21">
        <v>2</v>
      </c>
      <c r="C25" s="21">
        <v>3</v>
      </c>
      <c r="D25" s="38">
        <v>4</v>
      </c>
    </row>
    <row r="26" spans="1:6" s="4" customFormat="1" ht="69" customHeight="1">
      <c r="A26" s="22" t="s">
        <v>190</v>
      </c>
      <c r="B26" s="23" t="s">
        <v>0</v>
      </c>
      <c r="C26" s="23"/>
      <c r="D26" s="24">
        <f>D27+D41+D78+D87+D93+D100+D104+D109+D112</f>
        <v>232861561.14999998</v>
      </c>
    </row>
    <row r="27" spans="1:6" s="4" customFormat="1" ht="75">
      <c r="A27" s="22" t="s">
        <v>191</v>
      </c>
      <c r="B27" s="23" t="s">
        <v>1</v>
      </c>
      <c r="C27" s="23"/>
      <c r="D27" s="24">
        <f>D28+D35+D37</f>
        <v>70886660.099999994</v>
      </c>
    </row>
    <row r="28" spans="1:6" s="3" customFormat="1" ht="45" customHeight="1">
      <c r="A28" s="25" t="s">
        <v>192</v>
      </c>
      <c r="B28" s="26" t="s">
        <v>2</v>
      </c>
      <c r="C28" s="26"/>
      <c r="D28" s="27">
        <f>SUM(D29:D34)</f>
        <v>68982002.939999998</v>
      </c>
    </row>
    <row r="29" spans="1:6" ht="149.25" customHeight="1">
      <c r="A29" s="28" t="s">
        <v>193</v>
      </c>
      <c r="B29" s="38" t="s">
        <v>3</v>
      </c>
      <c r="C29" s="38">
        <v>100</v>
      </c>
      <c r="D29" s="20">
        <f>1568525+119523+17624.08-141924</f>
        <v>1563748.08</v>
      </c>
    </row>
    <row r="30" spans="1:6" ht="109.5" customHeight="1">
      <c r="A30" s="29" t="s">
        <v>194</v>
      </c>
      <c r="B30" s="38" t="s">
        <v>3</v>
      </c>
      <c r="C30" s="38">
        <v>200</v>
      </c>
      <c r="D30" s="20">
        <f>674800+2637.7-222700</f>
        <v>454737.69999999995</v>
      </c>
    </row>
    <row r="31" spans="1:6" ht="109.5" customHeight="1">
      <c r="A31" s="28" t="s">
        <v>195</v>
      </c>
      <c r="B31" s="38" t="s">
        <v>3</v>
      </c>
      <c r="C31" s="38">
        <v>600</v>
      </c>
      <c r="D31" s="20">
        <f>27462989.35+1192456.99-102785.18-74670-443100-190000</f>
        <v>27844891.16</v>
      </c>
    </row>
    <row r="32" spans="1:6" ht="102" customHeight="1">
      <c r="A32" s="28" t="s">
        <v>458</v>
      </c>
      <c r="B32" s="38" t="s">
        <v>4</v>
      </c>
      <c r="C32" s="38">
        <v>600</v>
      </c>
      <c r="D32" s="20">
        <v>30000</v>
      </c>
    </row>
    <row r="33" spans="1:4" ht="102" customHeight="1">
      <c r="A33" s="28" t="s">
        <v>593</v>
      </c>
      <c r="B33" s="38" t="s">
        <v>592</v>
      </c>
      <c r="C33" s="38">
        <v>600</v>
      </c>
      <c r="D33" s="20">
        <v>199564</v>
      </c>
    </row>
    <row r="34" spans="1:4" ht="189" customHeight="1">
      <c r="A34" s="28" t="s">
        <v>516</v>
      </c>
      <c r="B34" s="38" t="s">
        <v>431</v>
      </c>
      <c r="C34" s="38">
        <v>600</v>
      </c>
      <c r="D34" s="20">
        <f>38475763+413299</f>
        <v>38889062</v>
      </c>
    </row>
    <row r="35" spans="1:4" s="3" customFormat="1" ht="57" customHeight="1">
      <c r="A35" s="25" t="s">
        <v>5</v>
      </c>
      <c r="B35" s="26" t="s">
        <v>180</v>
      </c>
      <c r="C35" s="26"/>
      <c r="D35" s="27">
        <f>SUM(D36:D36)</f>
        <v>490200</v>
      </c>
    </row>
    <row r="36" spans="1:4" ht="93" customHeight="1">
      <c r="A36" s="28" t="s">
        <v>159</v>
      </c>
      <c r="B36" s="38" t="s">
        <v>6</v>
      </c>
      <c r="C36" s="38">
        <v>600</v>
      </c>
      <c r="D36" s="20">
        <v>490200</v>
      </c>
    </row>
    <row r="37" spans="1:4" s="3" customFormat="1" ht="68.25" customHeight="1">
      <c r="A37" s="25" t="s">
        <v>196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395</v>
      </c>
      <c r="B38" s="38" t="s">
        <v>394</v>
      </c>
      <c r="C38" s="38">
        <v>200</v>
      </c>
      <c r="D38" s="20">
        <v>36345</v>
      </c>
    </row>
    <row r="39" spans="1:4" ht="192.75" customHeight="1">
      <c r="A39" s="28" t="s">
        <v>181</v>
      </c>
      <c r="B39" s="38" t="s">
        <v>8</v>
      </c>
      <c r="C39" s="38">
        <v>600</v>
      </c>
      <c r="D39" s="20">
        <v>625902</v>
      </c>
    </row>
    <row r="40" spans="1:4" ht="133.5" customHeight="1">
      <c r="A40" s="28" t="s">
        <v>197</v>
      </c>
      <c r="B40" s="38" t="s">
        <v>9</v>
      </c>
      <c r="C40" s="38">
        <v>300</v>
      </c>
      <c r="D40" s="20">
        <v>752210.16</v>
      </c>
    </row>
    <row r="41" spans="1:4" s="4" customFormat="1" ht="90.75" customHeight="1">
      <c r="A41" s="22" t="s">
        <v>198</v>
      </c>
      <c r="B41" s="23" t="s">
        <v>10</v>
      </c>
      <c r="C41" s="23"/>
      <c r="D41" s="24">
        <f>D42+D53+D76</f>
        <v>137326425.91999999</v>
      </c>
    </row>
    <row r="42" spans="1:4" s="3" customFormat="1" ht="48" customHeight="1">
      <c r="A42" s="25" t="s">
        <v>199</v>
      </c>
      <c r="B42" s="26" t="s">
        <v>11</v>
      </c>
      <c r="C42" s="26"/>
      <c r="D42" s="27">
        <f>SUM(D43:D52)</f>
        <v>111946201.47</v>
      </c>
    </row>
    <row r="43" spans="1:4" ht="170.25" customHeight="1">
      <c r="A43" s="28" t="s">
        <v>200</v>
      </c>
      <c r="B43" s="38" t="s">
        <v>12</v>
      </c>
      <c r="C43" s="38">
        <v>100</v>
      </c>
      <c r="D43" s="20">
        <f>5674532+718016.67-77385.84-601453.2-186636.13</f>
        <v>5527073.5</v>
      </c>
    </row>
    <row r="44" spans="1:4" ht="121.5" customHeight="1">
      <c r="A44" s="28" t="s">
        <v>201</v>
      </c>
      <c r="B44" s="38" t="s">
        <v>12</v>
      </c>
      <c r="C44" s="38">
        <v>200</v>
      </c>
      <c r="D44" s="20">
        <f>11232100+11844.63+753893.13+160000+65754.55+337636.13+259487+139289.12+100000+7249.25</f>
        <v>13067253.810000002</v>
      </c>
    </row>
    <row r="45" spans="1:4" ht="132" customHeight="1">
      <c r="A45" s="28" t="s">
        <v>160</v>
      </c>
      <c r="B45" s="38" t="s">
        <v>12</v>
      </c>
      <c r="C45" s="38">
        <v>600</v>
      </c>
      <c r="D45" s="20">
        <f>11376504+297074.65+120000-21999.74-150000-271254+210000</f>
        <v>11560324.91</v>
      </c>
    </row>
    <row r="46" spans="1:4" ht="114.75" customHeight="1">
      <c r="A46" s="28" t="s">
        <v>202</v>
      </c>
      <c r="B46" s="38" t="s">
        <v>12</v>
      </c>
      <c r="C46" s="38">
        <v>800</v>
      </c>
      <c r="D46" s="20">
        <v>289900</v>
      </c>
    </row>
    <row r="47" spans="1:4" ht="87.75" customHeight="1">
      <c r="A47" s="28" t="s">
        <v>559</v>
      </c>
      <c r="B47" s="38" t="s">
        <v>558</v>
      </c>
      <c r="C47" s="38">
        <v>200</v>
      </c>
      <c r="D47" s="20">
        <v>50000</v>
      </c>
    </row>
    <row r="48" spans="1:4" ht="138" customHeight="1">
      <c r="A48" s="28" t="s">
        <v>655</v>
      </c>
      <c r="B48" s="30" t="s">
        <v>656</v>
      </c>
      <c r="C48" s="38">
        <v>100</v>
      </c>
      <c r="D48" s="20">
        <v>1458240</v>
      </c>
    </row>
    <row r="49" spans="1:4" ht="102.75" customHeight="1">
      <c r="A49" s="28" t="s">
        <v>657</v>
      </c>
      <c r="B49" s="30" t="s">
        <v>656</v>
      </c>
      <c r="C49" s="38">
        <v>600</v>
      </c>
      <c r="D49" s="20">
        <v>1328040</v>
      </c>
    </row>
    <row r="50" spans="1:4" ht="271.5" customHeight="1">
      <c r="A50" s="28" t="s">
        <v>432</v>
      </c>
      <c r="B50" s="38" t="s">
        <v>433</v>
      </c>
      <c r="C50" s="38">
        <v>100</v>
      </c>
      <c r="D50" s="20">
        <f>37526591+425760.25</f>
        <v>37952351.25</v>
      </c>
    </row>
    <row r="51" spans="1:4" ht="213.75" customHeight="1">
      <c r="A51" s="28" t="s">
        <v>434</v>
      </c>
      <c r="B51" s="38" t="s">
        <v>433</v>
      </c>
      <c r="C51" s="38">
        <v>200</v>
      </c>
      <c r="D51" s="20">
        <v>840129</v>
      </c>
    </row>
    <row r="52" spans="1:4" ht="230.25" customHeight="1">
      <c r="A52" s="28" t="s">
        <v>435</v>
      </c>
      <c r="B52" s="38" t="s">
        <v>433</v>
      </c>
      <c r="C52" s="38">
        <v>600</v>
      </c>
      <c r="D52" s="20">
        <f>39795750.75+77138.25</f>
        <v>39872889</v>
      </c>
    </row>
    <row r="53" spans="1:4" s="3" customFormat="1" ht="53.25" customHeight="1">
      <c r="A53" s="25" t="s">
        <v>369</v>
      </c>
      <c r="B53" s="26" t="s">
        <v>13</v>
      </c>
      <c r="C53" s="26"/>
      <c r="D53" s="27">
        <f>SUM(D54:D75)</f>
        <v>24263052.920000002</v>
      </c>
    </row>
    <row r="54" spans="1:4" ht="75">
      <c r="A54" s="28" t="s">
        <v>161</v>
      </c>
      <c r="B54" s="38" t="s">
        <v>14</v>
      </c>
      <c r="C54" s="38">
        <v>600</v>
      </c>
      <c r="D54" s="20">
        <f>3437739+179285.4+59761.76</f>
        <v>3676786.1599999997</v>
      </c>
    </row>
    <row r="55" spans="1:4" ht="90" customHeight="1">
      <c r="A55" s="28" t="s">
        <v>168</v>
      </c>
      <c r="B55" s="38" t="s">
        <v>15</v>
      </c>
      <c r="C55" s="38">
        <v>200</v>
      </c>
      <c r="D55" s="20">
        <v>553200</v>
      </c>
    </row>
    <row r="56" spans="1:4" ht="83.25" customHeight="1">
      <c r="A56" s="28" t="s">
        <v>162</v>
      </c>
      <c r="B56" s="38" t="s">
        <v>15</v>
      </c>
      <c r="C56" s="38">
        <v>600</v>
      </c>
      <c r="D56" s="20">
        <v>305000</v>
      </c>
    </row>
    <row r="57" spans="1:4" ht="90" customHeight="1">
      <c r="A57" s="29" t="s">
        <v>501</v>
      </c>
      <c r="B57" s="38" t="s">
        <v>483</v>
      </c>
      <c r="C57" s="38">
        <v>200</v>
      </c>
      <c r="D57" s="20">
        <f>379800-123030</f>
        <v>256770</v>
      </c>
    </row>
    <row r="58" spans="1:4" ht="96" customHeight="1">
      <c r="A58" s="29" t="s">
        <v>502</v>
      </c>
      <c r="B58" s="38" t="s">
        <v>483</v>
      </c>
      <c r="C58" s="38">
        <v>600</v>
      </c>
      <c r="D58" s="20">
        <f>541220-125520</f>
        <v>415700</v>
      </c>
    </row>
    <row r="59" spans="1:4" ht="84.75" customHeight="1">
      <c r="A59" s="29" t="s">
        <v>556</v>
      </c>
      <c r="B59" s="38" t="s">
        <v>551</v>
      </c>
      <c r="C59" s="38">
        <v>600</v>
      </c>
      <c r="D59" s="20">
        <v>22000</v>
      </c>
    </row>
    <row r="60" spans="1:4" ht="86.25" customHeight="1">
      <c r="A60" s="29" t="s">
        <v>557</v>
      </c>
      <c r="B60" s="38" t="s">
        <v>552</v>
      </c>
      <c r="C60" s="38">
        <v>600</v>
      </c>
      <c r="D60" s="20">
        <f>495004+39333+21999.74</f>
        <v>556336.74</v>
      </c>
    </row>
    <row r="61" spans="1:4" ht="195.75" customHeight="1">
      <c r="A61" s="29" t="s">
        <v>594</v>
      </c>
      <c r="B61" s="38" t="s">
        <v>553</v>
      </c>
      <c r="C61" s="38">
        <v>200</v>
      </c>
      <c r="D61" s="20">
        <f>200000-37754.55</f>
        <v>162245.45000000001</v>
      </c>
    </row>
    <row r="62" spans="1:4" ht="201" customHeight="1">
      <c r="A62" s="29" t="s">
        <v>595</v>
      </c>
      <c r="B62" s="38" t="s">
        <v>554</v>
      </c>
      <c r="C62" s="38">
        <v>200</v>
      </c>
      <c r="D62" s="20">
        <f>250000-25000-25000</f>
        <v>200000</v>
      </c>
    </row>
    <row r="63" spans="1:4" ht="116.25" customHeight="1">
      <c r="A63" s="29" t="s">
        <v>596</v>
      </c>
      <c r="B63" s="38" t="s">
        <v>555</v>
      </c>
      <c r="C63" s="38">
        <v>200</v>
      </c>
      <c r="D63" s="20">
        <v>587123</v>
      </c>
    </row>
    <row r="64" spans="1:4" ht="158.25" customHeight="1">
      <c r="A64" s="29" t="s">
        <v>604</v>
      </c>
      <c r="B64" s="38" t="s">
        <v>598</v>
      </c>
      <c r="C64" s="38">
        <v>600</v>
      </c>
      <c r="D64" s="20">
        <v>150000</v>
      </c>
    </row>
    <row r="65" spans="1:4" ht="116.25" customHeight="1">
      <c r="A65" s="29" t="s">
        <v>635</v>
      </c>
      <c r="B65" s="38" t="s">
        <v>599</v>
      </c>
      <c r="C65" s="38">
        <v>600</v>
      </c>
      <c r="D65" s="20">
        <v>22000</v>
      </c>
    </row>
    <row r="66" spans="1:4" ht="116.25" customHeight="1">
      <c r="A66" s="29" t="s">
        <v>636</v>
      </c>
      <c r="B66" s="38" t="s">
        <v>600</v>
      </c>
      <c r="C66" s="38">
        <v>600</v>
      </c>
      <c r="D66" s="20">
        <v>421130</v>
      </c>
    </row>
    <row r="67" spans="1:4" ht="116.25" customHeight="1">
      <c r="A67" s="29" t="s">
        <v>605</v>
      </c>
      <c r="B67" s="38" t="s">
        <v>601</v>
      </c>
      <c r="C67" s="38">
        <v>600</v>
      </c>
      <c r="D67" s="20">
        <v>199911</v>
      </c>
    </row>
    <row r="68" spans="1:4" ht="116.25" customHeight="1">
      <c r="A68" s="29" t="s">
        <v>606</v>
      </c>
      <c r="B68" s="38" t="s">
        <v>602</v>
      </c>
      <c r="C68" s="38">
        <v>600</v>
      </c>
      <c r="D68" s="20">
        <v>327536</v>
      </c>
    </row>
    <row r="69" spans="1:4" ht="116.25" customHeight="1">
      <c r="A69" s="29" t="s">
        <v>607</v>
      </c>
      <c r="B69" s="38" t="s">
        <v>603</v>
      </c>
      <c r="C69" s="38">
        <v>200</v>
      </c>
      <c r="D69" s="20">
        <f>25000-3000</f>
        <v>22000</v>
      </c>
    </row>
    <row r="70" spans="1:4" ht="106.5" customHeight="1">
      <c r="A70" s="29" t="s">
        <v>650</v>
      </c>
      <c r="B70" s="38" t="s">
        <v>649</v>
      </c>
      <c r="C70" s="38">
        <v>600</v>
      </c>
      <c r="D70" s="20">
        <f>3050560-349289.12</f>
        <v>2701270.88</v>
      </c>
    </row>
    <row r="71" spans="1:4" ht="118.5" customHeight="1">
      <c r="A71" s="29" t="s">
        <v>597</v>
      </c>
      <c r="B71" s="38" t="s">
        <v>548</v>
      </c>
      <c r="C71" s="38">
        <v>200</v>
      </c>
      <c r="D71" s="20">
        <f>10035801.01-10028710+10028710</f>
        <v>10035801.01</v>
      </c>
    </row>
    <row r="72" spans="1:4" ht="93" customHeight="1">
      <c r="A72" s="29" t="s">
        <v>669</v>
      </c>
      <c r="B72" s="38" t="s">
        <v>668</v>
      </c>
      <c r="C72" s="38">
        <v>200</v>
      </c>
      <c r="D72" s="20">
        <v>1256955.8400000001</v>
      </c>
    </row>
    <row r="73" spans="1:4" ht="111" customHeight="1">
      <c r="A73" s="29" t="s">
        <v>670</v>
      </c>
      <c r="B73" s="38" t="s">
        <v>668</v>
      </c>
      <c r="C73" s="38">
        <v>600</v>
      </c>
      <c r="D73" s="20">
        <v>1975216.32</v>
      </c>
    </row>
    <row r="74" spans="1:4" ht="66" customHeight="1">
      <c r="A74" s="29" t="s">
        <v>549</v>
      </c>
      <c r="B74" s="38" t="s">
        <v>547</v>
      </c>
      <c r="C74" s="38">
        <v>200</v>
      </c>
      <c r="D74" s="20">
        <f>494949.49-276465.2-7249.25</f>
        <v>211235.03999999998</v>
      </c>
    </row>
    <row r="75" spans="1:4" ht="84" customHeight="1">
      <c r="A75" s="29" t="s">
        <v>550</v>
      </c>
      <c r="B75" s="38" t="s">
        <v>547</v>
      </c>
      <c r="C75" s="38">
        <v>600</v>
      </c>
      <c r="D75" s="20">
        <f>646045.62-441210.14</f>
        <v>204835.47999999998</v>
      </c>
    </row>
    <row r="76" spans="1:4" ht="45.75" customHeight="1">
      <c r="A76" s="31" t="s">
        <v>560</v>
      </c>
      <c r="B76" s="26" t="s">
        <v>561</v>
      </c>
      <c r="C76" s="26"/>
      <c r="D76" s="27">
        <f>D77</f>
        <v>1117171.53</v>
      </c>
    </row>
    <row r="77" spans="1:4" ht="139.5" customHeight="1">
      <c r="A77" s="29" t="s">
        <v>579</v>
      </c>
      <c r="B77" s="38" t="s">
        <v>562</v>
      </c>
      <c r="C77" s="38">
        <v>600</v>
      </c>
      <c r="D77" s="20">
        <v>1117171.53</v>
      </c>
    </row>
    <row r="78" spans="1:4" ht="46.5" customHeight="1">
      <c r="A78" s="22" t="s">
        <v>17</v>
      </c>
      <c r="B78" s="23" t="s">
        <v>16</v>
      </c>
      <c r="C78" s="23"/>
      <c r="D78" s="24">
        <f>D79+D84</f>
        <v>13777320.970000001</v>
      </c>
    </row>
    <row r="79" spans="1:4" ht="54" customHeight="1">
      <c r="A79" s="25" t="s">
        <v>19</v>
      </c>
      <c r="B79" s="26" t="s">
        <v>18</v>
      </c>
      <c r="C79" s="26"/>
      <c r="D79" s="27">
        <f>SUM(D80:D83)</f>
        <v>13312160.970000001</v>
      </c>
    </row>
    <row r="80" spans="1:4" ht="75" customHeight="1">
      <c r="A80" s="28" t="s">
        <v>163</v>
      </c>
      <c r="B80" s="38" t="s">
        <v>20</v>
      </c>
      <c r="C80" s="38">
        <v>600</v>
      </c>
      <c r="D80" s="20">
        <f>9170900+232822.37+30000+74670+292100+22100</f>
        <v>9822592.3699999992</v>
      </c>
    </row>
    <row r="81" spans="1:4" ht="125.25" customHeight="1">
      <c r="A81" s="28" t="s">
        <v>528</v>
      </c>
      <c r="B81" s="38" t="s">
        <v>527</v>
      </c>
      <c r="C81" s="38">
        <v>600</v>
      </c>
      <c r="D81" s="20">
        <v>3099868.54</v>
      </c>
    </row>
    <row r="82" spans="1:4" ht="129.75" customHeight="1">
      <c r="A82" s="28" t="s">
        <v>530</v>
      </c>
      <c r="B82" s="38" t="s">
        <v>529</v>
      </c>
      <c r="C82" s="38">
        <v>600</v>
      </c>
      <c r="D82" s="20">
        <v>385023.66</v>
      </c>
    </row>
    <row r="83" spans="1:4" ht="137.25" customHeight="1">
      <c r="A83" s="28" t="s">
        <v>479</v>
      </c>
      <c r="B83" s="38" t="s">
        <v>436</v>
      </c>
      <c r="C83" s="38">
        <v>600</v>
      </c>
      <c r="D83" s="20">
        <f>3736200-632442.33+385023.66-3484892.2+787.27</f>
        <v>4676.3999999998887</v>
      </c>
    </row>
    <row r="84" spans="1:4" ht="37.5">
      <c r="A84" s="25" t="s">
        <v>398</v>
      </c>
      <c r="B84" s="26" t="s">
        <v>399</v>
      </c>
      <c r="C84" s="26"/>
      <c r="D84" s="27">
        <f>D85+D86</f>
        <v>465160</v>
      </c>
    </row>
    <row r="85" spans="1:4" ht="93.75">
      <c r="A85" s="28" t="s">
        <v>402</v>
      </c>
      <c r="B85" s="38" t="s">
        <v>400</v>
      </c>
      <c r="C85" s="38">
        <v>600</v>
      </c>
      <c r="D85" s="20">
        <v>151600</v>
      </c>
    </row>
    <row r="86" spans="1:4" ht="118.5" customHeight="1">
      <c r="A86" s="28" t="s">
        <v>609</v>
      </c>
      <c r="B86" s="38" t="s">
        <v>608</v>
      </c>
      <c r="C86" s="38">
        <v>600</v>
      </c>
      <c r="D86" s="20">
        <v>313560</v>
      </c>
    </row>
    <row r="87" spans="1:4" s="4" customFormat="1" ht="48" customHeight="1">
      <c r="A87" s="22" t="s">
        <v>22</v>
      </c>
      <c r="B87" s="23" t="s">
        <v>21</v>
      </c>
      <c r="C87" s="23"/>
      <c r="D87" s="24">
        <f>D88+D91</f>
        <v>807527</v>
      </c>
    </row>
    <row r="88" spans="1:4" s="3" customFormat="1" ht="51.75" customHeight="1">
      <c r="A88" s="25" t="s">
        <v>187</v>
      </c>
      <c r="B88" s="26" t="s">
        <v>23</v>
      </c>
      <c r="C88" s="26"/>
      <c r="D88" s="27">
        <f>SUM(D89:D90)</f>
        <v>756707</v>
      </c>
    </row>
    <row r="89" spans="1:4" s="4" customFormat="1" ht="93" customHeight="1">
      <c r="A89" s="28" t="s">
        <v>480</v>
      </c>
      <c r="B89" s="38" t="s">
        <v>24</v>
      </c>
      <c r="C89" s="38">
        <v>200</v>
      </c>
      <c r="D89" s="20">
        <f>170660+140910-149457+15477+50820</f>
        <v>228410</v>
      </c>
    </row>
    <row r="90" spans="1:4" s="3" customFormat="1" ht="92.25" customHeight="1">
      <c r="A90" s="28" t="s">
        <v>481</v>
      </c>
      <c r="B90" s="38" t="s">
        <v>24</v>
      </c>
      <c r="C90" s="38">
        <v>600</v>
      </c>
      <c r="D90" s="20">
        <f>32340+344190+48510+19687+410+149457-15477-50820</f>
        <v>528297</v>
      </c>
    </row>
    <row r="91" spans="1:4" ht="50.25" customHeight="1">
      <c r="A91" s="25" t="s">
        <v>182</v>
      </c>
      <c r="B91" s="26" t="s">
        <v>25</v>
      </c>
      <c r="C91" s="26"/>
      <c r="D91" s="27">
        <f t="shared" ref="D91" si="0">D92</f>
        <v>50820</v>
      </c>
    </row>
    <row r="92" spans="1:4" ht="93.75">
      <c r="A92" s="28" t="s">
        <v>183</v>
      </c>
      <c r="B92" s="38" t="s">
        <v>26</v>
      </c>
      <c r="C92" s="38">
        <v>200</v>
      </c>
      <c r="D92" s="20">
        <f>46200+4620</f>
        <v>50820</v>
      </c>
    </row>
    <row r="93" spans="1:4" ht="31.5" customHeight="1">
      <c r="A93" s="22" t="s">
        <v>203</v>
      </c>
      <c r="B93" s="23" t="s">
        <v>27</v>
      </c>
      <c r="C93" s="23"/>
      <c r="D93" s="24">
        <f t="shared" ref="D93" si="1">D94</f>
        <v>189800</v>
      </c>
    </row>
    <row r="94" spans="1:4" ht="45" customHeight="1">
      <c r="A94" s="25" t="s">
        <v>204</v>
      </c>
      <c r="B94" s="26" t="s">
        <v>28</v>
      </c>
      <c r="C94" s="26"/>
      <c r="D94" s="27">
        <f>SUM(D95:D99)</f>
        <v>189800</v>
      </c>
    </row>
    <row r="95" spans="1:4" s="3" customFormat="1" ht="128.25" customHeight="1">
      <c r="A95" s="28" t="s">
        <v>205</v>
      </c>
      <c r="B95" s="38" t="s">
        <v>29</v>
      </c>
      <c r="C95" s="38">
        <v>200</v>
      </c>
      <c r="D95" s="20">
        <v>20000</v>
      </c>
    </row>
    <row r="96" spans="1:4" ht="126.75" customHeight="1">
      <c r="A96" s="28" t="s">
        <v>412</v>
      </c>
      <c r="B96" s="38" t="s">
        <v>29</v>
      </c>
      <c r="C96" s="38">
        <v>600</v>
      </c>
      <c r="D96" s="20">
        <v>65000</v>
      </c>
    </row>
    <row r="97" spans="1:4" s="4" customFormat="1" ht="90" customHeight="1">
      <c r="A97" s="28" t="s">
        <v>206</v>
      </c>
      <c r="B97" s="38" t="s">
        <v>30</v>
      </c>
      <c r="C97" s="38">
        <v>200</v>
      </c>
      <c r="D97" s="20">
        <f>108000-15000</f>
        <v>93000</v>
      </c>
    </row>
    <row r="98" spans="1:4" s="4" customFormat="1" ht="107.25" customHeight="1">
      <c r="A98" s="28" t="s">
        <v>358</v>
      </c>
      <c r="B98" s="38" t="s">
        <v>30</v>
      </c>
      <c r="C98" s="38">
        <v>600</v>
      </c>
      <c r="D98" s="20">
        <f>22000-20200</f>
        <v>1800</v>
      </c>
    </row>
    <row r="99" spans="1:4" s="4" customFormat="1" ht="93.75" customHeight="1">
      <c r="A99" s="28" t="s">
        <v>413</v>
      </c>
      <c r="B99" s="38" t="s">
        <v>407</v>
      </c>
      <c r="C99" s="38">
        <v>600</v>
      </c>
      <c r="D99" s="20">
        <v>10000</v>
      </c>
    </row>
    <row r="100" spans="1:4" s="3" customFormat="1" ht="49.5" customHeight="1">
      <c r="A100" s="32" t="s">
        <v>32</v>
      </c>
      <c r="B100" s="23" t="s">
        <v>31</v>
      </c>
      <c r="C100" s="23"/>
      <c r="D100" s="24">
        <f t="shared" ref="D100" si="2">D101</f>
        <v>50000</v>
      </c>
    </row>
    <row r="101" spans="1:4" ht="53.25" customHeight="1">
      <c r="A101" s="25" t="s">
        <v>34</v>
      </c>
      <c r="B101" s="26" t="s">
        <v>33</v>
      </c>
      <c r="C101" s="26"/>
      <c r="D101" s="27">
        <f t="shared" ref="D101" si="3">SUM(D102:D103)</f>
        <v>50000</v>
      </c>
    </row>
    <row r="102" spans="1:4" ht="114" customHeight="1">
      <c r="A102" s="28" t="s">
        <v>169</v>
      </c>
      <c r="B102" s="38" t="s">
        <v>35</v>
      </c>
      <c r="C102" s="38">
        <v>200</v>
      </c>
      <c r="D102" s="20">
        <v>30000</v>
      </c>
    </row>
    <row r="103" spans="1:4" ht="116.25" customHeight="1">
      <c r="A103" s="28" t="s">
        <v>165</v>
      </c>
      <c r="B103" s="38" t="s">
        <v>35</v>
      </c>
      <c r="C103" s="38">
        <v>600</v>
      </c>
      <c r="D103" s="20">
        <v>20000</v>
      </c>
    </row>
    <row r="104" spans="1:4" ht="84.75" customHeight="1">
      <c r="A104" s="22" t="s">
        <v>207</v>
      </c>
      <c r="B104" s="23" t="s">
        <v>36</v>
      </c>
      <c r="C104" s="23"/>
      <c r="D104" s="24">
        <f t="shared" ref="D104" si="4">D105</f>
        <v>9646343.2400000002</v>
      </c>
    </row>
    <row r="105" spans="1:4" s="4" customFormat="1" ht="83.25" customHeight="1">
      <c r="A105" s="25" t="s">
        <v>368</v>
      </c>
      <c r="B105" s="26" t="s">
        <v>37</v>
      </c>
      <c r="C105" s="26"/>
      <c r="D105" s="27">
        <f t="shared" ref="D105" si="5">SUM(D106:D108)</f>
        <v>9646343.2400000002</v>
      </c>
    </row>
    <row r="106" spans="1:4" s="3" customFormat="1" ht="112.5">
      <c r="A106" s="28" t="s">
        <v>152</v>
      </c>
      <c r="B106" s="38" t="s">
        <v>38</v>
      </c>
      <c r="C106" s="38">
        <v>100</v>
      </c>
      <c r="D106" s="20">
        <f>6901253+264257.2+39136.74</f>
        <v>7204646.9400000004</v>
      </c>
    </row>
    <row r="107" spans="1:4" ht="70.5" customHeight="1">
      <c r="A107" s="28" t="s">
        <v>208</v>
      </c>
      <c r="B107" s="38" t="s">
        <v>38</v>
      </c>
      <c r="C107" s="38">
        <v>200</v>
      </c>
      <c r="D107" s="20">
        <f>1702731+84541.3+150000+250000+90000+141924</f>
        <v>2419196.2999999998</v>
      </c>
    </row>
    <row r="108" spans="1:4" ht="37.5">
      <c r="A108" s="28" t="s">
        <v>209</v>
      </c>
      <c r="B108" s="38" t="s">
        <v>38</v>
      </c>
      <c r="C108" s="38">
        <v>800</v>
      </c>
      <c r="D108" s="20">
        <v>22500</v>
      </c>
    </row>
    <row r="109" spans="1:4" ht="75">
      <c r="A109" s="22" t="s">
        <v>370</v>
      </c>
      <c r="B109" s="23" t="s">
        <v>373</v>
      </c>
      <c r="C109" s="23"/>
      <c r="D109" s="24">
        <f>D110</f>
        <v>162483.91999999998</v>
      </c>
    </row>
    <row r="110" spans="1:4" ht="37.5">
      <c r="A110" s="25" t="s">
        <v>371</v>
      </c>
      <c r="B110" s="26" t="s">
        <v>372</v>
      </c>
      <c r="C110" s="26"/>
      <c r="D110" s="27">
        <f>D111</f>
        <v>162483.91999999998</v>
      </c>
    </row>
    <row r="111" spans="1:4" ht="75">
      <c r="A111" s="28" t="s">
        <v>414</v>
      </c>
      <c r="B111" s="38" t="s">
        <v>406</v>
      </c>
      <c r="C111" s="38">
        <v>600</v>
      </c>
      <c r="D111" s="20">
        <f>79480+11767+71236.92</f>
        <v>162483.91999999998</v>
      </c>
    </row>
    <row r="112" spans="1:4" ht="75">
      <c r="A112" s="22" t="s">
        <v>584</v>
      </c>
      <c r="B112" s="23" t="s">
        <v>581</v>
      </c>
      <c r="C112" s="23"/>
      <c r="D112" s="24">
        <f>D113</f>
        <v>15000</v>
      </c>
    </row>
    <row r="113" spans="1:4" ht="75">
      <c r="A113" s="25" t="s">
        <v>585</v>
      </c>
      <c r="B113" s="26" t="s">
        <v>582</v>
      </c>
      <c r="C113" s="26"/>
      <c r="D113" s="27">
        <f>D114</f>
        <v>15000</v>
      </c>
    </row>
    <row r="114" spans="1:4" ht="75">
      <c r="A114" s="28" t="s">
        <v>590</v>
      </c>
      <c r="B114" s="38" t="s">
        <v>583</v>
      </c>
      <c r="C114" s="38">
        <v>200</v>
      </c>
      <c r="D114" s="20">
        <v>15000</v>
      </c>
    </row>
    <row r="115" spans="1:4" s="4" customFormat="1" ht="72" customHeight="1">
      <c r="A115" s="22" t="s">
        <v>459</v>
      </c>
      <c r="B115" s="23" t="s">
        <v>39</v>
      </c>
      <c r="C115" s="23"/>
      <c r="D115" s="24">
        <f>D116+D123+D129+D132+D136+D139+D166+D176+D180</f>
        <v>52204270.729999997</v>
      </c>
    </row>
    <row r="116" spans="1:4" s="3" customFormat="1" ht="53.25" customHeight="1">
      <c r="A116" s="22" t="s">
        <v>210</v>
      </c>
      <c r="B116" s="23" t="s">
        <v>40</v>
      </c>
      <c r="C116" s="23"/>
      <c r="D116" s="24">
        <f t="shared" ref="D116" si="6">D117</f>
        <v>9885712.2999999989</v>
      </c>
    </row>
    <row r="117" spans="1:4" s="4" customFormat="1" ht="90.75" customHeight="1">
      <c r="A117" s="31" t="s">
        <v>247</v>
      </c>
      <c r="B117" s="26" t="s">
        <v>248</v>
      </c>
      <c r="C117" s="26"/>
      <c r="D117" s="27">
        <f>SUM(D118:D122)</f>
        <v>9885712.2999999989</v>
      </c>
    </row>
    <row r="118" spans="1:4" s="4" customFormat="1" ht="75" customHeight="1">
      <c r="A118" s="28" t="s">
        <v>365</v>
      </c>
      <c r="B118" s="38" t="s">
        <v>359</v>
      </c>
      <c r="C118" s="38">
        <v>200</v>
      </c>
      <c r="D118" s="20">
        <f>3047280.69+146277.49+249920+201481</f>
        <v>3644959.1799999997</v>
      </c>
    </row>
    <row r="119" spans="1:4" s="3" customFormat="1" ht="74.25" customHeight="1">
      <c r="A119" s="28" t="s">
        <v>360</v>
      </c>
      <c r="B119" s="38" t="s">
        <v>361</v>
      </c>
      <c r="C119" s="38">
        <v>200</v>
      </c>
      <c r="D119" s="20">
        <f>1025066.51+39126.83+141261.75</f>
        <v>1205455.0900000001</v>
      </c>
    </row>
    <row r="120" spans="1:4" s="3" customFormat="1" ht="99.75" customHeight="1">
      <c r="A120" s="29" t="s">
        <v>564</v>
      </c>
      <c r="B120" s="38" t="s">
        <v>563</v>
      </c>
      <c r="C120" s="38">
        <v>200</v>
      </c>
      <c r="D120" s="20">
        <f>124000+48000</f>
        <v>172000</v>
      </c>
    </row>
    <row r="121" spans="1:4" s="3" customFormat="1" ht="99.75" customHeight="1">
      <c r="A121" s="29" t="s">
        <v>679</v>
      </c>
      <c r="B121" s="38" t="s">
        <v>678</v>
      </c>
      <c r="C121" s="38">
        <v>200</v>
      </c>
      <c r="D121" s="20">
        <v>95543.1</v>
      </c>
    </row>
    <row r="122" spans="1:4" s="3" customFormat="1" ht="114.75" customHeight="1">
      <c r="A122" s="29" t="s">
        <v>611</v>
      </c>
      <c r="B122" s="38" t="s">
        <v>610</v>
      </c>
      <c r="C122" s="38">
        <v>200</v>
      </c>
      <c r="D122" s="20">
        <f>47677.55+4720077.38</f>
        <v>4767754.93</v>
      </c>
    </row>
    <row r="123" spans="1:4" ht="64.5" customHeight="1">
      <c r="A123" s="22" t="s">
        <v>211</v>
      </c>
      <c r="B123" s="23" t="s">
        <v>41</v>
      </c>
      <c r="C123" s="23"/>
      <c r="D123" s="24">
        <f t="shared" ref="D123" si="7">D124</f>
        <v>244021</v>
      </c>
    </row>
    <row r="124" spans="1:4" ht="38.25" customHeight="1">
      <c r="A124" s="25" t="s">
        <v>212</v>
      </c>
      <c r="B124" s="26" t="s">
        <v>42</v>
      </c>
      <c r="C124" s="26"/>
      <c r="D124" s="27">
        <f t="shared" ref="D124" si="8">SUM(D125:D128)</f>
        <v>244021</v>
      </c>
    </row>
    <row r="125" spans="1:4" s="3" customFormat="1" ht="77.25" customHeight="1">
      <c r="A125" s="28" t="s">
        <v>249</v>
      </c>
      <c r="B125" s="38" t="s">
        <v>43</v>
      </c>
      <c r="C125" s="38">
        <v>200</v>
      </c>
      <c r="D125" s="20">
        <v>184021</v>
      </c>
    </row>
    <row r="126" spans="1:4" ht="124.5" customHeight="1">
      <c r="A126" s="28" t="s">
        <v>351</v>
      </c>
      <c r="B126" s="38" t="s">
        <v>44</v>
      </c>
      <c r="C126" s="38">
        <v>200</v>
      </c>
      <c r="D126" s="20">
        <f>60000-42000</f>
        <v>18000</v>
      </c>
    </row>
    <row r="127" spans="1:4" ht="128.25" customHeight="1">
      <c r="A127" s="28" t="s">
        <v>352</v>
      </c>
      <c r="B127" s="38" t="s">
        <v>44</v>
      </c>
      <c r="C127" s="38">
        <v>600</v>
      </c>
      <c r="D127" s="20">
        <f>24000-12000</f>
        <v>12000</v>
      </c>
    </row>
    <row r="128" spans="1:4" s="4" customFormat="1" ht="75.75" customHeight="1">
      <c r="A128" s="28" t="s">
        <v>250</v>
      </c>
      <c r="B128" s="38" t="s">
        <v>251</v>
      </c>
      <c r="C128" s="38">
        <v>200</v>
      </c>
      <c r="D128" s="20">
        <v>30000</v>
      </c>
    </row>
    <row r="129" spans="1:4" s="3" customFormat="1" ht="134.25" customHeight="1">
      <c r="A129" s="32" t="s">
        <v>46</v>
      </c>
      <c r="B129" s="23" t="s">
        <v>45</v>
      </c>
      <c r="C129" s="23"/>
      <c r="D129" s="24">
        <f t="shared" ref="D129" si="9">D130</f>
        <v>2273132.25</v>
      </c>
    </row>
    <row r="130" spans="1:4" ht="56.25" customHeight="1">
      <c r="A130" s="25" t="s">
        <v>48</v>
      </c>
      <c r="B130" s="26" t="s">
        <v>47</v>
      </c>
      <c r="C130" s="26"/>
      <c r="D130" s="27">
        <f t="shared" ref="D130" si="10">SUM(D131:D131)</f>
        <v>2273132.25</v>
      </c>
    </row>
    <row r="131" spans="1:4" ht="113.25" customHeight="1">
      <c r="A131" s="29" t="s">
        <v>473</v>
      </c>
      <c r="B131" s="38" t="s">
        <v>474</v>
      </c>
      <c r="C131" s="38">
        <v>200</v>
      </c>
      <c r="D131" s="20">
        <f>2131942.46+141189.79</f>
        <v>2273132.25</v>
      </c>
    </row>
    <row r="132" spans="1:4" s="4" customFormat="1" ht="49.5" customHeight="1">
      <c r="A132" s="32" t="s">
        <v>213</v>
      </c>
      <c r="B132" s="23" t="s">
        <v>49</v>
      </c>
      <c r="C132" s="23"/>
      <c r="D132" s="24">
        <f t="shared" ref="D132" si="11">D133</f>
        <v>1954315.8900000001</v>
      </c>
    </row>
    <row r="133" spans="1:4" s="3" customFormat="1" ht="47.25" customHeight="1">
      <c r="A133" s="31" t="s">
        <v>252</v>
      </c>
      <c r="B133" s="26" t="s">
        <v>50</v>
      </c>
      <c r="C133" s="26"/>
      <c r="D133" s="27">
        <f>SUM(D134:D135)</f>
        <v>1954315.8900000001</v>
      </c>
    </row>
    <row r="134" spans="1:4" s="3" customFormat="1" ht="47.25" customHeight="1">
      <c r="A134" s="29" t="s">
        <v>638</v>
      </c>
      <c r="B134" s="38" t="s">
        <v>637</v>
      </c>
      <c r="C134" s="38">
        <v>200</v>
      </c>
      <c r="D134" s="20">
        <f>1365650+257410</f>
        <v>1623060</v>
      </c>
    </row>
    <row r="135" spans="1:4" ht="95.25" customHeight="1">
      <c r="A135" s="29" t="s">
        <v>674</v>
      </c>
      <c r="B135" s="38" t="s">
        <v>675</v>
      </c>
      <c r="C135" s="38">
        <v>200</v>
      </c>
      <c r="D135" s="20">
        <v>331255.89</v>
      </c>
    </row>
    <row r="136" spans="1:4" s="3" customFormat="1" ht="51.75" customHeight="1">
      <c r="A136" s="22" t="s">
        <v>149</v>
      </c>
      <c r="B136" s="23" t="s">
        <v>51</v>
      </c>
      <c r="C136" s="23"/>
      <c r="D136" s="24">
        <f t="shared" ref="D136:D137" si="12">D137</f>
        <v>375000</v>
      </c>
    </row>
    <row r="137" spans="1:4" ht="69" customHeight="1">
      <c r="A137" s="31" t="s">
        <v>460</v>
      </c>
      <c r="B137" s="26" t="s">
        <v>52</v>
      </c>
      <c r="C137" s="26"/>
      <c r="D137" s="27">
        <f t="shared" si="12"/>
        <v>375000</v>
      </c>
    </row>
    <row r="138" spans="1:4" ht="76.5" customHeight="1">
      <c r="A138" s="28" t="s">
        <v>166</v>
      </c>
      <c r="B138" s="38" t="s">
        <v>53</v>
      </c>
      <c r="C138" s="38">
        <v>800</v>
      </c>
      <c r="D138" s="20">
        <f>700000-400000+75000</f>
        <v>375000</v>
      </c>
    </row>
    <row r="139" spans="1:4" s="4" customFormat="1" ht="75">
      <c r="A139" s="32" t="s">
        <v>253</v>
      </c>
      <c r="B139" s="23" t="s">
        <v>254</v>
      </c>
      <c r="C139" s="38"/>
      <c r="D139" s="24">
        <f>D140+D150+D158+D160+D162+D141+D148</f>
        <v>32973406.239999998</v>
      </c>
    </row>
    <row r="140" spans="1:4" s="3" customFormat="1" ht="37.5" hidden="1">
      <c r="A140" s="31" t="s">
        <v>255</v>
      </c>
      <c r="B140" s="26" t="s">
        <v>256</v>
      </c>
      <c r="C140" s="38"/>
      <c r="D140" s="27"/>
    </row>
    <row r="141" spans="1:4" s="3" customFormat="1" ht="37.5">
      <c r="A141" s="31" t="s">
        <v>255</v>
      </c>
      <c r="B141" s="26" t="s">
        <v>256</v>
      </c>
      <c r="C141" s="38"/>
      <c r="D141" s="27">
        <f>SUM(D142:D147)</f>
        <v>29479411.399999999</v>
      </c>
    </row>
    <row r="142" spans="1:4" s="3" customFormat="1" ht="93.75">
      <c r="A142" s="29" t="s">
        <v>591</v>
      </c>
      <c r="B142" s="38" t="s">
        <v>586</v>
      </c>
      <c r="C142" s="38">
        <v>200</v>
      </c>
      <c r="D142" s="20">
        <f>5520.02+1791.73</f>
        <v>7311.75</v>
      </c>
    </row>
    <row r="143" spans="1:4" s="3" customFormat="1" ht="112.5">
      <c r="A143" s="29" t="s">
        <v>588</v>
      </c>
      <c r="B143" s="38" t="s">
        <v>587</v>
      </c>
      <c r="C143" s="38">
        <v>200</v>
      </c>
      <c r="D143" s="20">
        <f>5520.02+1791.73</f>
        <v>7311.75</v>
      </c>
    </row>
    <row r="144" spans="1:4" s="3" customFormat="1" ht="104.25" customHeight="1">
      <c r="A144" s="29" t="s">
        <v>613</v>
      </c>
      <c r="B144" s="38" t="s">
        <v>612</v>
      </c>
      <c r="C144" s="38">
        <v>200</v>
      </c>
      <c r="D144" s="20">
        <v>25000</v>
      </c>
    </row>
    <row r="145" spans="1:4" s="3" customFormat="1" ht="75.75" customHeight="1">
      <c r="A145" s="29" t="s">
        <v>681</v>
      </c>
      <c r="B145" s="38" t="s">
        <v>680</v>
      </c>
      <c r="C145" s="38">
        <v>200</v>
      </c>
      <c r="D145" s="20">
        <v>5565</v>
      </c>
    </row>
    <row r="146" spans="1:4" s="3" customFormat="1" ht="92.25" customHeight="1">
      <c r="A146" s="29" t="s">
        <v>616</v>
      </c>
      <c r="B146" s="38" t="s">
        <v>614</v>
      </c>
      <c r="C146" s="38">
        <v>400</v>
      </c>
      <c r="D146" s="20">
        <f>209351.68+20725816-7500000-75757.58</f>
        <v>13359410.1</v>
      </c>
    </row>
    <row r="147" spans="1:4" s="3" customFormat="1" ht="93.75">
      <c r="A147" s="29" t="s">
        <v>617</v>
      </c>
      <c r="B147" s="38" t="s">
        <v>615</v>
      </c>
      <c r="C147" s="38">
        <v>400</v>
      </c>
      <c r="D147" s="20">
        <f>160748.13+15914064.67</f>
        <v>16074812.800000001</v>
      </c>
    </row>
    <row r="148" spans="1:4" s="3" customFormat="1" ht="37.5">
      <c r="A148" s="31" t="s">
        <v>654</v>
      </c>
      <c r="B148" s="26" t="s">
        <v>651</v>
      </c>
      <c r="C148" s="26"/>
      <c r="D148" s="27">
        <f>D149</f>
        <v>96000</v>
      </c>
    </row>
    <row r="149" spans="1:4" s="3" customFormat="1" ht="82.5" customHeight="1">
      <c r="A149" s="29" t="s">
        <v>658</v>
      </c>
      <c r="B149" s="38" t="s">
        <v>652</v>
      </c>
      <c r="C149" s="38">
        <v>200</v>
      </c>
      <c r="D149" s="20">
        <v>96000</v>
      </c>
    </row>
    <row r="150" spans="1:4" ht="50.25" customHeight="1">
      <c r="A150" s="31" t="s">
        <v>257</v>
      </c>
      <c r="B150" s="26" t="s">
        <v>258</v>
      </c>
      <c r="C150" s="38"/>
      <c r="D150" s="27">
        <f>SUM(D151:D157)</f>
        <v>2562745.31</v>
      </c>
    </row>
    <row r="151" spans="1:4" ht="110.25" customHeight="1">
      <c r="A151" s="29" t="s">
        <v>482</v>
      </c>
      <c r="B151" s="38" t="s">
        <v>422</v>
      </c>
      <c r="C151" s="38">
        <v>500</v>
      </c>
      <c r="D151" s="20">
        <v>651932.06000000006</v>
      </c>
    </row>
    <row r="152" spans="1:4" ht="70.5" customHeight="1">
      <c r="A152" s="29" t="s">
        <v>259</v>
      </c>
      <c r="B152" s="38" t="s">
        <v>260</v>
      </c>
      <c r="C152" s="38">
        <v>200</v>
      </c>
      <c r="D152" s="20">
        <f>400000-185495</f>
        <v>214505</v>
      </c>
    </row>
    <row r="153" spans="1:4" ht="84.75" customHeight="1">
      <c r="A153" s="29" t="s">
        <v>423</v>
      </c>
      <c r="B153" s="38" t="s">
        <v>484</v>
      </c>
      <c r="C153" s="38">
        <v>200</v>
      </c>
      <c r="D153" s="20">
        <f>584532.85+35133.55</f>
        <v>619666.4</v>
      </c>
    </row>
    <row r="154" spans="1:4" ht="96" customHeight="1">
      <c r="A154" s="29" t="s">
        <v>503</v>
      </c>
      <c r="B154" s="38" t="s">
        <v>485</v>
      </c>
      <c r="C154" s="38">
        <v>200</v>
      </c>
      <c r="D154" s="20">
        <f>415458.85+120000</f>
        <v>535458.85</v>
      </c>
    </row>
    <row r="155" spans="1:4" ht="96" customHeight="1">
      <c r="A155" s="29" t="s">
        <v>659</v>
      </c>
      <c r="B155" s="38" t="s">
        <v>653</v>
      </c>
      <c r="C155" s="38">
        <v>200</v>
      </c>
      <c r="D155" s="20">
        <v>84000</v>
      </c>
    </row>
    <row r="156" spans="1:4" ht="73.5" customHeight="1">
      <c r="A156" s="29" t="s">
        <v>661</v>
      </c>
      <c r="B156" s="38" t="s">
        <v>660</v>
      </c>
      <c r="C156" s="38">
        <v>400</v>
      </c>
      <c r="D156" s="20">
        <v>185495</v>
      </c>
    </row>
    <row r="157" spans="1:4" ht="82.5" customHeight="1">
      <c r="A157" s="29" t="s">
        <v>667</v>
      </c>
      <c r="B157" s="38" t="s">
        <v>666</v>
      </c>
      <c r="C157" s="38">
        <v>200</v>
      </c>
      <c r="D157" s="20">
        <v>271688</v>
      </c>
    </row>
    <row r="158" spans="1:4" ht="46.5" customHeight="1">
      <c r="A158" s="31" t="s">
        <v>261</v>
      </c>
      <c r="B158" s="26" t="s">
        <v>262</v>
      </c>
      <c r="C158" s="38"/>
      <c r="D158" s="27">
        <f t="shared" ref="D158" si="13">D159</f>
        <v>120000</v>
      </c>
    </row>
    <row r="159" spans="1:4" ht="70.5" customHeight="1">
      <c r="A159" s="29" t="s">
        <v>263</v>
      </c>
      <c r="B159" s="38" t="s">
        <v>264</v>
      </c>
      <c r="C159" s="38">
        <v>200</v>
      </c>
      <c r="D159" s="20">
        <v>120000</v>
      </c>
    </row>
    <row r="160" spans="1:4" s="4" customFormat="1" ht="54" customHeight="1">
      <c r="A160" s="31" t="s">
        <v>339</v>
      </c>
      <c r="B160" s="26" t="s">
        <v>265</v>
      </c>
      <c r="C160" s="38"/>
      <c r="D160" s="27">
        <f t="shared" ref="D160" si="14">D161</f>
        <v>80000</v>
      </c>
    </row>
    <row r="161" spans="1:4" s="3" customFormat="1" ht="89.25" customHeight="1">
      <c r="A161" s="29" t="s">
        <v>340</v>
      </c>
      <c r="B161" s="38" t="s">
        <v>266</v>
      </c>
      <c r="C161" s="38">
        <v>200</v>
      </c>
      <c r="D161" s="20">
        <f>100000-20000</f>
        <v>80000</v>
      </c>
    </row>
    <row r="162" spans="1:4" s="3" customFormat="1" ht="54.75" customHeight="1">
      <c r="A162" s="31" t="s">
        <v>376</v>
      </c>
      <c r="B162" s="26" t="s">
        <v>374</v>
      </c>
      <c r="C162" s="26"/>
      <c r="D162" s="27">
        <f>D163+D165+D164</f>
        <v>635249.53</v>
      </c>
    </row>
    <row r="163" spans="1:4" s="3" customFormat="1" ht="74.25" customHeight="1">
      <c r="A163" s="29" t="s">
        <v>377</v>
      </c>
      <c r="B163" s="38" t="s">
        <v>375</v>
      </c>
      <c r="C163" s="38">
        <v>200</v>
      </c>
      <c r="D163" s="20">
        <f>402341.38-2000-37629.95-4200</f>
        <v>358511.43</v>
      </c>
    </row>
    <row r="164" spans="1:4" s="3" customFormat="1" ht="90.75" customHeight="1">
      <c r="A164" s="29" t="s">
        <v>566</v>
      </c>
      <c r="B164" s="38" t="s">
        <v>565</v>
      </c>
      <c r="C164" s="38">
        <v>200</v>
      </c>
      <c r="D164" s="20">
        <f>16749.24+2000+4200</f>
        <v>22949.24</v>
      </c>
    </row>
    <row r="165" spans="1:4" s="3" customFormat="1" ht="210" customHeight="1">
      <c r="A165" s="29" t="s">
        <v>531</v>
      </c>
      <c r="B165" s="38" t="s">
        <v>537</v>
      </c>
      <c r="C165" s="38">
        <v>800</v>
      </c>
      <c r="D165" s="20">
        <f>206162.96+47625.9</f>
        <v>253788.86</v>
      </c>
    </row>
    <row r="166" spans="1:4" s="3" customFormat="1" ht="93" customHeight="1">
      <c r="A166" s="32" t="s">
        <v>267</v>
      </c>
      <c r="B166" s="23" t="s">
        <v>268</v>
      </c>
      <c r="C166" s="38"/>
      <c r="D166" s="24">
        <f>D167+D171+D173</f>
        <v>437838.26</v>
      </c>
    </row>
    <row r="167" spans="1:4" ht="97.5" customHeight="1">
      <c r="A167" s="31" t="s">
        <v>269</v>
      </c>
      <c r="B167" s="26" t="s">
        <v>270</v>
      </c>
      <c r="C167" s="38"/>
      <c r="D167" s="27">
        <f>SUM(D168:D170)</f>
        <v>307485.49</v>
      </c>
    </row>
    <row r="168" spans="1:4" s="4" customFormat="1" ht="89.25" customHeight="1">
      <c r="A168" s="29" t="s">
        <v>271</v>
      </c>
      <c r="B168" s="38" t="s">
        <v>272</v>
      </c>
      <c r="C168" s="38">
        <v>200</v>
      </c>
      <c r="D168" s="20">
        <v>30000</v>
      </c>
    </row>
    <row r="169" spans="1:4" s="4" customFormat="1" ht="136.5" customHeight="1">
      <c r="A169" s="29" t="s">
        <v>273</v>
      </c>
      <c r="B169" s="38" t="s">
        <v>274</v>
      </c>
      <c r="C169" s="38">
        <v>200</v>
      </c>
      <c r="D169" s="20">
        <f>5000-5000</f>
        <v>0</v>
      </c>
    </row>
    <row r="170" spans="1:4" s="4" customFormat="1" ht="90.75" customHeight="1">
      <c r="A170" s="29" t="s">
        <v>424</v>
      </c>
      <c r="B170" s="38" t="s">
        <v>425</v>
      </c>
      <c r="C170" s="38">
        <v>200</v>
      </c>
      <c r="D170" s="20">
        <v>277485.49</v>
      </c>
    </row>
    <row r="171" spans="1:4" ht="32.25" customHeight="1">
      <c r="A171" s="33" t="s">
        <v>275</v>
      </c>
      <c r="B171" s="26" t="s">
        <v>276</v>
      </c>
      <c r="C171" s="38"/>
      <c r="D171" s="27">
        <f t="shared" ref="D171" si="15">D172</f>
        <v>80352.770000000019</v>
      </c>
    </row>
    <row r="172" spans="1:4" ht="51.75" customHeight="1">
      <c r="A172" s="29" t="s">
        <v>277</v>
      </c>
      <c r="B172" s="38" t="s">
        <v>278</v>
      </c>
      <c r="C172" s="38">
        <v>800</v>
      </c>
      <c r="D172" s="20">
        <f>500000-50000-31647.23-200000-138000</f>
        <v>80352.770000000019</v>
      </c>
    </row>
    <row r="173" spans="1:4" ht="134.25" customHeight="1">
      <c r="A173" s="31" t="s">
        <v>504</v>
      </c>
      <c r="B173" s="26" t="s">
        <v>486</v>
      </c>
      <c r="C173" s="26"/>
      <c r="D173" s="27">
        <f>D174+D175</f>
        <v>50000</v>
      </c>
    </row>
    <row r="174" spans="1:4" ht="114.75" customHeight="1">
      <c r="A174" s="29" t="s">
        <v>505</v>
      </c>
      <c r="B174" s="38" t="s">
        <v>487</v>
      </c>
      <c r="C174" s="38">
        <v>200</v>
      </c>
      <c r="D174" s="20">
        <f>50000-15000</f>
        <v>35000</v>
      </c>
    </row>
    <row r="175" spans="1:4" ht="74.25" customHeight="1">
      <c r="A175" s="29" t="s">
        <v>568</v>
      </c>
      <c r="B175" s="38" t="s">
        <v>567</v>
      </c>
      <c r="C175" s="38">
        <v>200</v>
      </c>
      <c r="D175" s="20">
        <v>15000</v>
      </c>
    </row>
    <row r="176" spans="1:4" ht="54" customHeight="1">
      <c r="A176" s="34" t="s">
        <v>279</v>
      </c>
      <c r="B176" s="23" t="s">
        <v>280</v>
      </c>
      <c r="C176" s="38"/>
      <c r="D176" s="24">
        <f t="shared" ref="D176" si="16">D177</f>
        <v>960844.79</v>
      </c>
    </row>
    <row r="177" spans="1:4" ht="51.75" customHeight="1">
      <c r="A177" s="31" t="s">
        <v>281</v>
      </c>
      <c r="B177" s="26" t="s">
        <v>282</v>
      </c>
      <c r="C177" s="38"/>
      <c r="D177" s="27">
        <f t="shared" ref="D177" si="17">SUM(D178:D179)</f>
        <v>960844.79</v>
      </c>
    </row>
    <row r="178" spans="1:4" s="3" customFormat="1" ht="96.75" customHeight="1">
      <c r="A178" s="29" t="s">
        <v>362</v>
      </c>
      <c r="B178" s="38" t="s">
        <v>283</v>
      </c>
      <c r="C178" s="38">
        <v>200</v>
      </c>
      <c r="D178" s="20">
        <f>966848.48-200000+81862-257410-100000</f>
        <v>491300.48</v>
      </c>
    </row>
    <row r="179" spans="1:4" s="3" customFormat="1" ht="71.25" customHeight="1">
      <c r="A179" s="29" t="s">
        <v>363</v>
      </c>
      <c r="B179" s="38" t="s">
        <v>364</v>
      </c>
      <c r="C179" s="38">
        <v>200</v>
      </c>
      <c r="D179" s="20">
        <f>570652.41-101108.1</f>
        <v>469544.31000000006</v>
      </c>
    </row>
    <row r="180" spans="1:4" s="3" customFormat="1" ht="69" customHeight="1">
      <c r="A180" s="32" t="s">
        <v>415</v>
      </c>
      <c r="B180" s="23" t="s">
        <v>408</v>
      </c>
      <c r="C180" s="23"/>
      <c r="D180" s="24">
        <f>D181</f>
        <v>3100000</v>
      </c>
    </row>
    <row r="181" spans="1:4" s="3" customFormat="1" ht="84.75" customHeight="1">
      <c r="A181" s="31" t="s">
        <v>416</v>
      </c>
      <c r="B181" s="26" t="s">
        <v>409</v>
      </c>
      <c r="C181" s="26"/>
      <c r="D181" s="27">
        <f>D182</f>
        <v>3100000</v>
      </c>
    </row>
    <row r="182" spans="1:4" s="3" customFormat="1" ht="109.5" customHeight="1">
      <c r="A182" s="29" t="s">
        <v>417</v>
      </c>
      <c r="B182" s="38" t="s">
        <v>410</v>
      </c>
      <c r="C182" s="38">
        <v>400</v>
      </c>
      <c r="D182" s="20">
        <f>1073457+2146914-120371</f>
        <v>3100000</v>
      </c>
    </row>
    <row r="183" spans="1:4" ht="69" customHeight="1">
      <c r="A183" s="22" t="s">
        <v>214</v>
      </c>
      <c r="B183" s="23" t="s">
        <v>54</v>
      </c>
      <c r="C183" s="23"/>
      <c r="D183" s="24">
        <f>D184+D195+D201+D205+D208+D211+D217</f>
        <v>24918322.16</v>
      </c>
    </row>
    <row r="184" spans="1:4" ht="46.5" customHeight="1">
      <c r="A184" s="22" t="s">
        <v>215</v>
      </c>
      <c r="B184" s="23" t="s">
        <v>55</v>
      </c>
      <c r="C184" s="23"/>
      <c r="D184" s="24">
        <f t="shared" ref="D184" si="18">D185+D192</f>
        <v>19142993.640000001</v>
      </c>
    </row>
    <row r="185" spans="1:4" s="4" customFormat="1" ht="47.25" customHeight="1">
      <c r="A185" s="25" t="s">
        <v>57</v>
      </c>
      <c r="B185" s="26" t="s">
        <v>56</v>
      </c>
      <c r="C185" s="26"/>
      <c r="D185" s="27">
        <f>SUM(D186:D191)</f>
        <v>14549313.640000001</v>
      </c>
    </row>
    <row r="186" spans="1:4" s="3" customFormat="1" ht="114" customHeight="1">
      <c r="A186" s="28" t="s">
        <v>153</v>
      </c>
      <c r="B186" s="38" t="s">
        <v>58</v>
      </c>
      <c r="C186" s="38">
        <v>100</v>
      </c>
      <c r="D186" s="20">
        <f>9508011.23+841517.76+262287.9</f>
        <v>10611816.890000001</v>
      </c>
    </row>
    <row r="187" spans="1:4" ht="71.25" customHeight="1">
      <c r="A187" s="28" t="s">
        <v>170</v>
      </c>
      <c r="B187" s="38" t="s">
        <v>58</v>
      </c>
      <c r="C187" s="38">
        <v>200</v>
      </c>
      <c r="D187" s="20">
        <f>2190211.6+37000+32000-2250+190000+120000+10000+190000</f>
        <v>2766961.6</v>
      </c>
    </row>
    <row r="188" spans="1:4" s="3" customFormat="1" ht="55.5" customHeight="1">
      <c r="A188" s="28" t="s">
        <v>167</v>
      </c>
      <c r="B188" s="38" t="s">
        <v>58</v>
      </c>
      <c r="C188" s="38">
        <v>800</v>
      </c>
      <c r="D188" s="20">
        <v>13600</v>
      </c>
    </row>
    <row r="189" spans="1:4" ht="130.5" customHeight="1">
      <c r="A189" s="28" t="s">
        <v>154</v>
      </c>
      <c r="B189" s="38" t="s">
        <v>59</v>
      </c>
      <c r="C189" s="38">
        <v>100</v>
      </c>
      <c r="D189" s="20">
        <f>436737.12+19530.03</f>
        <v>456267.15</v>
      </c>
    </row>
    <row r="190" spans="1:4" ht="90" customHeight="1">
      <c r="A190" s="28" t="s">
        <v>171</v>
      </c>
      <c r="B190" s="38" t="s">
        <v>59</v>
      </c>
      <c r="C190" s="38">
        <v>200</v>
      </c>
      <c r="D190" s="20">
        <v>400668</v>
      </c>
    </row>
    <row r="191" spans="1:4" ht="74.25" customHeight="1">
      <c r="A191" s="28" t="s">
        <v>619</v>
      </c>
      <c r="B191" s="38" t="s">
        <v>618</v>
      </c>
      <c r="C191" s="38">
        <v>200</v>
      </c>
      <c r="D191" s="20">
        <v>300000</v>
      </c>
    </row>
    <row r="192" spans="1:4" s="4" customFormat="1" ht="57" customHeight="1">
      <c r="A192" s="25" t="s">
        <v>216</v>
      </c>
      <c r="B192" s="26" t="s">
        <v>60</v>
      </c>
      <c r="C192" s="26"/>
      <c r="D192" s="27">
        <f>SUM(D193:D194)</f>
        <v>4593680</v>
      </c>
    </row>
    <row r="193" spans="1:4" s="4" customFormat="1" ht="151.5" customHeight="1">
      <c r="A193" s="28" t="s">
        <v>521</v>
      </c>
      <c r="B193" s="38" t="s">
        <v>522</v>
      </c>
      <c r="C193" s="38">
        <v>100</v>
      </c>
      <c r="D193" s="20">
        <f>4681763-135383</f>
        <v>4546380</v>
      </c>
    </row>
    <row r="194" spans="1:4" s="3" customFormat="1" ht="151.5" customHeight="1">
      <c r="A194" s="28" t="s">
        <v>284</v>
      </c>
      <c r="B194" s="38" t="s">
        <v>61</v>
      </c>
      <c r="C194" s="38">
        <v>100</v>
      </c>
      <c r="D194" s="20">
        <f>316935-269635</f>
        <v>47300</v>
      </c>
    </row>
    <row r="195" spans="1:4" ht="50.25" customHeight="1">
      <c r="A195" s="22" t="s">
        <v>63</v>
      </c>
      <c r="B195" s="23" t="s">
        <v>62</v>
      </c>
      <c r="C195" s="23"/>
      <c r="D195" s="24">
        <f t="shared" ref="D195" si="19">D196+D198</f>
        <v>4826928.5199999996</v>
      </c>
    </row>
    <row r="196" spans="1:4" s="4" customFormat="1" ht="51.75" customHeight="1">
      <c r="A196" s="25" t="s">
        <v>65</v>
      </c>
      <c r="B196" s="26" t="s">
        <v>64</v>
      </c>
      <c r="C196" s="26"/>
      <c r="D196" s="27">
        <f t="shared" ref="D196" si="20">D197</f>
        <v>3909240.52</v>
      </c>
    </row>
    <row r="197" spans="1:4" s="3" customFormat="1" ht="84" customHeight="1">
      <c r="A197" s="28" t="s">
        <v>164</v>
      </c>
      <c r="B197" s="38" t="s">
        <v>66</v>
      </c>
      <c r="C197" s="38">
        <v>600</v>
      </c>
      <c r="D197" s="20">
        <f>3610991.49+34529+133363.03+110157+20200</f>
        <v>3909240.52</v>
      </c>
    </row>
    <row r="198" spans="1:4" ht="48" customHeight="1">
      <c r="A198" s="25" t="s">
        <v>68</v>
      </c>
      <c r="B198" s="26" t="s">
        <v>67</v>
      </c>
      <c r="C198" s="26"/>
      <c r="D198" s="27">
        <f>SUM(D199:D200)</f>
        <v>917688</v>
      </c>
    </row>
    <row r="199" spans="1:4" ht="151.5" customHeight="1">
      <c r="A199" s="28" t="s">
        <v>519</v>
      </c>
      <c r="B199" s="38" t="s">
        <v>520</v>
      </c>
      <c r="C199" s="38">
        <v>600</v>
      </c>
      <c r="D199" s="20">
        <f>865567-8879</f>
        <v>856688</v>
      </c>
    </row>
    <row r="200" spans="1:4" ht="135" customHeight="1">
      <c r="A200" s="28" t="s">
        <v>393</v>
      </c>
      <c r="B200" s="38" t="s">
        <v>392</v>
      </c>
      <c r="C200" s="38">
        <v>600</v>
      </c>
      <c r="D200" s="20">
        <f>152636-143636+52000</f>
        <v>61000</v>
      </c>
    </row>
    <row r="201" spans="1:4" ht="48" customHeight="1">
      <c r="A201" s="22" t="s">
        <v>401</v>
      </c>
      <c r="B201" s="23" t="s">
        <v>69</v>
      </c>
      <c r="C201" s="23"/>
      <c r="D201" s="24">
        <f t="shared" ref="D201" si="21">D202</f>
        <v>220100</v>
      </c>
    </row>
    <row r="202" spans="1:4" s="4" customFormat="1" ht="37.5" customHeight="1">
      <c r="A202" s="25" t="s">
        <v>71</v>
      </c>
      <c r="B202" s="26" t="s">
        <v>70</v>
      </c>
      <c r="C202" s="26"/>
      <c r="D202" s="27">
        <f>SUM(D203:D204)</f>
        <v>220100</v>
      </c>
    </row>
    <row r="203" spans="1:4" s="3" customFormat="1" ht="112.5">
      <c r="A203" s="28" t="s">
        <v>418</v>
      </c>
      <c r="B203" s="38" t="s">
        <v>72</v>
      </c>
      <c r="C203" s="38">
        <v>200</v>
      </c>
      <c r="D203" s="20">
        <v>220000</v>
      </c>
    </row>
    <row r="204" spans="1:4" s="3" customFormat="1" ht="74.25" customHeight="1">
      <c r="A204" s="28" t="s">
        <v>419</v>
      </c>
      <c r="B204" s="38" t="s">
        <v>405</v>
      </c>
      <c r="C204" s="38">
        <v>200</v>
      </c>
      <c r="D204" s="20">
        <v>100</v>
      </c>
    </row>
    <row r="205" spans="1:4" ht="47.25" customHeight="1">
      <c r="A205" s="22" t="s">
        <v>188</v>
      </c>
      <c r="B205" s="23" t="s">
        <v>73</v>
      </c>
      <c r="C205" s="23"/>
      <c r="D205" s="24">
        <f t="shared" ref="D205" si="22">D206</f>
        <v>50000</v>
      </c>
    </row>
    <row r="206" spans="1:4" ht="30.75" customHeight="1">
      <c r="A206" s="25" t="s">
        <v>217</v>
      </c>
      <c r="B206" s="26" t="s">
        <v>74</v>
      </c>
      <c r="C206" s="26"/>
      <c r="D206" s="27">
        <f t="shared" ref="D206" si="23">SUM(D207:D207)</f>
        <v>50000</v>
      </c>
    </row>
    <row r="207" spans="1:4" ht="72" customHeight="1">
      <c r="A207" s="28" t="s">
        <v>189</v>
      </c>
      <c r="B207" s="38" t="s">
        <v>75</v>
      </c>
      <c r="C207" s="38">
        <v>200</v>
      </c>
      <c r="D207" s="20">
        <v>50000</v>
      </c>
    </row>
    <row r="208" spans="1:4" s="3" customFormat="1" ht="74.25" customHeight="1">
      <c r="A208" s="22" t="s">
        <v>367</v>
      </c>
      <c r="B208" s="23" t="s">
        <v>76</v>
      </c>
      <c r="C208" s="23"/>
      <c r="D208" s="24">
        <f t="shared" ref="D208:D209" si="24">D209</f>
        <v>50000</v>
      </c>
    </row>
    <row r="209" spans="1:4" ht="65.25" customHeight="1">
      <c r="A209" s="25" t="s">
        <v>78</v>
      </c>
      <c r="B209" s="26" t="s">
        <v>77</v>
      </c>
      <c r="C209" s="26"/>
      <c r="D209" s="27">
        <f t="shared" si="24"/>
        <v>50000</v>
      </c>
    </row>
    <row r="210" spans="1:4" s="4" customFormat="1" ht="57.75" customHeight="1">
      <c r="A210" s="28" t="s">
        <v>172</v>
      </c>
      <c r="B210" s="38" t="s">
        <v>79</v>
      </c>
      <c r="C210" s="38">
        <v>200</v>
      </c>
      <c r="D210" s="20">
        <v>50000</v>
      </c>
    </row>
    <row r="211" spans="1:4" s="3" customFormat="1" ht="68.25" customHeight="1">
      <c r="A211" s="22" t="s">
        <v>461</v>
      </c>
      <c r="B211" s="23" t="s">
        <v>80</v>
      </c>
      <c r="C211" s="23"/>
      <c r="D211" s="24">
        <f t="shared" ref="D211" si="25">D212</f>
        <v>538300</v>
      </c>
    </row>
    <row r="212" spans="1:4" s="3" customFormat="1" ht="45" customHeight="1">
      <c r="A212" s="25" t="s">
        <v>218</v>
      </c>
      <c r="B212" s="26" t="s">
        <v>81</v>
      </c>
      <c r="C212" s="26"/>
      <c r="D212" s="27">
        <f>SUM(D213:D216)</f>
        <v>538300</v>
      </c>
    </row>
    <row r="213" spans="1:4" s="3" customFormat="1" ht="72" customHeight="1">
      <c r="A213" s="28" t="s">
        <v>219</v>
      </c>
      <c r="B213" s="38" t="s">
        <v>82</v>
      </c>
      <c r="C213" s="38">
        <v>200</v>
      </c>
      <c r="D213" s="20">
        <f>40000-3535.35</f>
        <v>36464.65</v>
      </c>
    </row>
    <row r="214" spans="1:4" s="3" customFormat="1" ht="72" customHeight="1">
      <c r="A214" s="28" t="s">
        <v>663</v>
      </c>
      <c r="B214" s="38" t="s">
        <v>662</v>
      </c>
      <c r="C214" s="38">
        <v>600</v>
      </c>
      <c r="D214" s="20">
        <f>36300+112000</f>
        <v>148300</v>
      </c>
    </row>
    <row r="215" spans="1:4" s="3" customFormat="1" ht="123.75" customHeight="1">
      <c r="A215" s="28" t="s">
        <v>639</v>
      </c>
      <c r="B215" s="38" t="s">
        <v>532</v>
      </c>
      <c r="C215" s="38">
        <v>200</v>
      </c>
      <c r="D215" s="20">
        <f>2424.24+240000</f>
        <v>242424.24</v>
      </c>
    </row>
    <row r="216" spans="1:4" s="3" customFormat="1" ht="129" customHeight="1">
      <c r="A216" s="28" t="s">
        <v>534</v>
      </c>
      <c r="B216" s="38" t="s">
        <v>533</v>
      </c>
      <c r="C216" s="38">
        <v>200</v>
      </c>
      <c r="D216" s="20">
        <f>1111.11+110000</f>
        <v>111111.11</v>
      </c>
    </row>
    <row r="217" spans="1:4" s="3" customFormat="1" ht="54" customHeight="1">
      <c r="A217" s="32" t="s">
        <v>404</v>
      </c>
      <c r="B217" s="23" t="s">
        <v>285</v>
      </c>
      <c r="C217" s="38"/>
      <c r="D217" s="24">
        <f>D218</f>
        <v>90000</v>
      </c>
    </row>
    <row r="218" spans="1:4" ht="48" customHeight="1">
      <c r="A218" s="31" t="s">
        <v>286</v>
      </c>
      <c r="B218" s="26" t="s">
        <v>287</v>
      </c>
      <c r="C218" s="38"/>
      <c r="D218" s="27">
        <f>D219+D220</f>
        <v>90000</v>
      </c>
    </row>
    <row r="219" spans="1:4" ht="68.25" customHeight="1">
      <c r="A219" s="29" t="s">
        <v>288</v>
      </c>
      <c r="B219" s="38" t="s">
        <v>289</v>
      </c>
      <c r="C219" s="38">
        <v>200</v>
      </c>
      <c r="D219" s="20">
        <f>210000+270000-310000-20000-60000</f>
        <v>90000</v>
      </c>
    </row>
    <row r="220" spans="1:4" ht="82.5" customHeight="1">
      <c r="A220" s="29" t="s">
        <v>488</v>
      </c>
      <c r="B220" s="37" t="s">
        <v>289</v>
      </c>
      <c r="C220" s="38">
        <v>600</v>
      </c>
      <c r="D220" s="20">
        <f>32000-32000</f>
        <v>0</v>
      </c>
    </row>
    <row r="221" spans="1:4" ht="89.25" customHeight="1">
      <c r="A221" s="22" t="s">
        <v>290</v>
      </c>
      <c r="B221" s="23" t="s">
        <v>83</v>
      </c>
      <c r="C221" s="23"/>
      <c r="D221" s="24">
        <f>D222+D228+D236</f>
        <v>3097099.83</v>
      </c>
    </row>
    <row r="222" spans="1:4" ht="49.5" customHeight="1">
      <c r="A222" s="22" t="s">
        <v>220</v>
      </c>
      <c r="B222" s="23" t="s">
        <v>84</v>
      </c>
      <c r="C222" s="23"/>
      <c r="D222" s="24">
        <f t="shared" ref="D222" si="26">D223</f>
        <v>57900</v>
      </c>
    </row>
    <row r="223" spans="1:4" s="4" customFormat="1" ht="66.75" customHeight="1">
      <c r="A223" s="31" t="s">
        <v>291</v>
      </c>
      <c r="B223" s="26" t="s">
        <v>292</v>
      </c>
      <c r="C223" s="26"/>
      <c r="D223" s="27">
        <f>SUM(D224:D227)</f>
        <v>57900</v>
      </c>
    </row>
    <row r="224" spans="1:4" s="3" customFormat="1" ht="90" customHeight="1">
      <c r="A224" s="28" t="s">
        <v>173</v>
      </c>
      <c r="B224" s="38" t="s">
        <v>293</v>
      </c>
      <c r="C224" s="38">
        <v>200</v>
      </c>
      <c r="D224" s="20">
        <v>18800</v>
      </c>
    </row>
    <row r="225" spans="1:4" ht="92.25" customHeight="1">
      <c r="A225" s="28" t="s">
        <v>174</v>
      </c>
      <c r="B225" s="38" t="s">
        <v>294</v>
      </c>
      <c r="C225" s="38">
        <v>200</v>
      </c>
      <c r="D225" s="20">
        <v>4300</v>
      </c>
    </row>
    <row r="226" spans="1:4" ht="84" customHeight="1">
      <c r="A226" s="28" t="s">
        <v>221</v>
      </c>
      <c r="B226" s="38" t="s">
        <v>295</v>
      </c>
      <c r="C226" s="38">
        <v>200</v>
      </c>
      <c r="D226" s="20">
        <f>204800-120000-80000</f>
        <v>4800</v>
      </c>
    </row>
    <row r="227" spans="1:4" ht="84" customHeight="1">
      <c r="A227" s="28" t="s">
        <v>506</v>
      </c>
      <c r="B227" s="38" t="s">
        <v>489</v>
      </c>
      <c r="C227" s="38">
        <v>200</v>
      </c>
      <c r="D227" s="20">
        <v>30000</v>
      </c>
    </row>
    <row r="228" spans="1:4" s="4" customFormat="1" ht="37.5">
      <c r="A228" s="22" t="s">
        <v>222</v>
      </c>
      <c r="B228" s="23" t="s">
        <v>85</v>
      </c>
      <c r="C228" s="23"/>
      <c r="D228" s="24">
        <f>D229</f>
        <v>2456385.71</v>
      </c>
    </row>
    <row r="229" spans="1:4" s="3" customFormat="1" ht="56.25" customHeight="1">
      <c r="A229" s="31" t="s">
        <v>296</v>
      </c>
      <c r="B229" s="26" t="s">
        <v>297</v>
      </c>
      <c r="C229" s="26"/>
      <c r="D229" s="27">
        <f>SUM(D230:D235)</f>
        <v>2456385.71</v>
      </c>
    </row>
    <row r="230" spans="1:4" ht="78.75" customHeight="1">
      <c r="A230" s="28" t="s">
        <v>348</v>
      </c>
      <c r="B230" s="38" t="s">
        <v>298</v>
      </c>
      <c r="C230" s="38">
        <v>200</v>
      </c>
      <c r="D230" s="20">
        <f>86300-36300</f>
        <v>50000</v>
      </c>
    </row>
    <row r="231" spans="1:4" ht="56.25">
      <c r="A231" s="28" t="s">
        <v>490</v>
      </c>
      <c r="B231" s="38" t="s">
        <v>298</v>
      </c>
      <c r="C231" s="38">
        <v>800</v>
      </c>
      <c r="D231" s="20">
        <v>50000</v>
      </c>
    </row>
    <row r="232" spans="1:4" ht="75">
      <c r="A232" s="29" t="s">
        <v>366</v>
      </c>
      <c r="B232" s="38" t="s">
        <v>349</v>
      </c>
      <c r="C232" s="38">
        <v>600</v>
      </c>
      <c r="D232" s="20">
        <v>250700</v>
      </c>
    </row>
    <row r="233" spans="1:4" ht="112.5">
      <c r="A233" s="29" t="s">
        <v>632</v>
      </c>
      <c r="B233" s="38" t="s">
        <v>631</v>
      </c>
      <c r="C233" s="38">
        <v>100</v>
      </c>
      <c r="D233" s="20">
        <f>1818527.7+129397.75</f>
        <v>1947925.45</v>
      </c>
    </row>
    <row r="234" spans="1:4" ht="56.25">
      <c r="A234" s="29" t="s">
        <v>633</v>
      </c>
      <c r="B234" s="38" t="s">
        <v>631</v>
      </c>
      <c r="C234" s="38">
        <v>200</v>
      </c>
      <c r="D234" s="20">
        <v>156260.26</v>
      </c>
    </row>
    <row r="235" spans="1:4" ht="37.5">
      <c r="A235" s="29" t="s">
        <v>634</v>
      </c>
      <c r="B235" s="38" t="s">
        <v>631</v>
      </c>
      <c r="C235" s="38">
        <v>800</v>
      </c>
      <c r="D235" s="20">
        <v>1500</v>
      </c>
    </row>
    <row r="236" spans="1:4" s="3" customFormat="1" ht="71.25" customHeight="1">
      <c r="A236" s="32" t="s">
        <v>299</v>
      </c>
      <c r="B236" s="23" t="s">
        <v>300</v>
      </c>
      <c r="C236" s="38"/>
      <c r="D236" s="24">
        <f t="shared" ref="D236" si="27">D237</f>
        <v>582814.12</v>
      </c>
    </row>
    <row r="237" spans="1:4" ht="66" customHeight="1">
      <c r="A237" s="31" t="s">
        <v>301</v>
      </c>
      <c r="B237" s="26" t="s">
        <v>302</v>
      </c>
      <c r="C237" s="38"/>
      <c r="D237" s="27">
        <f>SUM(D238:D244)</f>
        <v>582814.12</v>
      </c>
    </row>
    <row r="238" spans="1:4" ht="112.5">
      <c r="A238" s="29" t="s">
        <v>303</v>
      </c>
      <c r="B238" s="38" t="s">
        <v>462</v>
      </c>
      <c r="C238" s="38">
        <v>100</v>
      </c>
      <c r="D238" s="20">
        <f>2102174.35+79682.4-1818527.7</f>
        <v>363329.05000000005</v>
      </c>
    </row>
    <row r="239" spans="1:4" s="4" customFormat="1" ht="70.5" customHeight="1">
      <c r="A239" s="29" t="s">
        <v>304</v>
      </c>
      <c r="B239" s="38" t="s">
        <v>462</v>
      </c>
      <c r="C239" s="38">
        <v>200</v>
      </c>
      <c r="D239" s="20">
        <f>155422.24+1323.09-156260.26</f>
        <v>485.06999999997788</v>
      </c>
    </row>
    <row r="240" spans="1:4" s="3" customFormat="1" ht="53.25" customHeight="1">
      <c r="A240" s="29" t="s">
        <v>305</v>
      </c>
      <c r="B240" s="38" t="s">
        <v>306</v>
      </c>
      <c r="C240" s="38">
        <v>200</v>
      </c>
      <c r="D240" s="20">
        <v>10000</v>
      </c>
    </row>
    <row r="241" spans="1:4" ht="63.75" customHeight="1">
      <c r="A241" s="29" t="s">
        <v>175</v>
      </c>
      <c r="B241" s="38" t="s">
        <v>307</v>
      </c>
      <c r="C241" s="38">
        <v>200</v>
      </c>
      <c r="D241" s="20">
        <v>10000</v>
      </c>
    </row>
    <row r="242" spans="1:4" ht="69.75" customHeight="1">
      <c r="A242" s="29" t="s">
        <v>308</v>
      </c>
      <c r="B242" s="38" t="s">
        <v>309</v>
      </c>
      <c r="C242" s="38">
        <v>200</v>
      </c>
      <c r="D242" s="20">
        <v>135000</v>
      </c>
    </row>
    <row r="243" spans="1:4" ht="51" customHeight="1">
      <c r="A243" s="29" t="s">
        <v>357</v>
      </c>
      <c r="B243" s="38" t="s">
        <v>309</v>
      </c>
      <c r="C243" s="38">
        <v>800</v>
      </c>
      <c r="D243" s="20">
        <v>20000</v>
      </c>
    </row>
    <row r="244" spans="1:4" ht="93.75">
      <c r="A244" s="29" t="s">
        <v>491</v>
      </c>
      <c r="B244" s="38" t="s">
        <v>310</v>
      </c>
      <c r="C244" s="38">
        <v>600</v>
      </c>
      <c r="D244" s="20">
        <v>44000</v>
      </c>
    </row>
    <row r="245" spans="1:4" s="4" customFormat="1" ht="66" customHeight="1">
      <c r="A245" s="22" t="s">
        <v>223</v>
      </c>
      <c r="B245" s="23" t="s">
        <v>86</v>
      </c>
      <c r="C245" s="23"/>
      <c r="D245" s="24">
        <f>D246+D252+D257+D261</f>
        <v>1266000</v>
      </c>
    </row>
    <row r="246" spans="1:4" s="3" customFormat="1" ht="49.5" customHeight="1">
      <c r="A246" s="22" t="s">
        <v>224</v>
      </c>
      <c r="B246" s="23" t="s">
        <v>87</v>
      </c>
      <c r="C246" s="23"/>
      <c r="D246" s="24">
        <f t="shared" ref="D246" si="28">D247</f>
        <v>135000</v>
      </c>
    </row>
    <row r="247" spans="1:4" ht="49.5" customHeight="1">
      <c r="A247" s="25" t="s">
        <v>225</v>
      </c>
      <c r="B247" s="26" t="s">
        <v>88</v>
      </c>
      <c r="C247" s="26"/>
      <c r="D247" s="27">
        <f t="shared" ref="D247" si="29">SUM(D248:D251)</f>
        <v>135000</v>
      </c>
    </row>
    <row r="248" spans="1:4" s="4" customFormat="1" ht="93.75">
      <c r="A248" s="29" t="s">
        <v>311</v>
      </c>
      <c r="B248" s="38" t="s">
        <v>89</v>
      </c>
      <c r="C248" s="38">
        <v>800</v>
      </c>
      <c r="D248" s="20">
        <v>45000</v>
      </c>
    </row>
    <row r="249" spans="1:4" s="4" customFormat="1" ht="88.5" customHeight="1">
      <c r="A249" s="29" t="s">
        <v>312</v>
      </c>
      <c r="B249" s="38" t="s">
        <v>90</v>
      </c>
      <c r="C249" s="38">
        <v>800</v>
      </c>
      <c r="D249" s="20">
        <v>45000</v>
      </c>
    </row>
    <row r="250" spans="1:4" s="3" customFormat="1" ht="90" customHeight="1">
      <c r="A250" s="29" t="s">
        <v>313</v>
      </c>
      <c r="B250" s="38" t="s">
        <v>314</v>
      </c>
      <c r="C250" s="38">
        <v>800</v>
      </c>
      <c r="D250" s="20">
        <v>20000</v>
      </c>
    </row>
    <row r="251" spans="1:4" ht="75" customHeight="1">
      <c r="A251" s="29" t="s">
        <v>315</v>
      </c>
      <c r="B251" s="38" t="s">
        <v>316</v>
      </c>
      <c r="C251" s="38">
        <v>800</v>
      </c>
      <c r="D251" s="20">
        <v>25000</v>
      </c>
    </row>
    <row r="252" spans="1:4" ht="56.25">
      <c r="A252" s="22" t="s">
        <v>226</v>
      </c>
      <c r="B252" s="23" t="s">
        <v>91</v>
      </c>
      <c r="C252" s="23"/>
      <c r="D252" s="24">
        <f t="shared" ref="D252" si="30">D253</f>
        <v>575000</v>
      </c>
    </row>
    <row r="253" spans="1:4" s="3" customFormat="1" ht="52.5" customHeight="1">
      <c r="A253" s="25" t="s">
        <v>227</v>
      </c>
      <c r="B253" s="26" t="s">
        <v>92</v>
      </c>
      <c r="C253" s="26"/>
      <c r="D253" s="27">
        <f>SUM(D254:D256)</f>
        <v>575000</v>
      </c>
    </row>
    <row r="254" spans="1:4" s="4" customFormat="1" ht="99.75" customHeight="1">
      <c r="A254" s="29" t="s">
        <v>456</v>
      </c>
      <c r="B254" s="38" t="s">
        <v>426</v>
      </c>
      <c r="C254" s="38">
        <v>200</v>
      </c>
      <c r="D254" s="20">
        <f>350000-100000-100000</f>
        <v>150000</v>
      </c>
    </row>
    <row r="255" spans="1:4" s="4" customFormat="1" ht="107.25" customHeight="1">
      <c r="A255" s="29" t="s">
        <v>428</v>
      </c>
      <c r="B255" s="38" t="s">
        <v>427</v>
      </c>
      <c r="C255" s="38">
        <v>200</v>
      </c>
      <c r="D255" s="20">
        <f>260000-50000+100000-100000-30000</f>
        <v>180000</v>
      </c>
    </row>
    <row r="256" spans="1:4" s="4" customFormat="1" ht="69.75" customHeight="1">
      <c r="A256" s="29" t="s">
        <v>535</v>
      </c>
      <c r="B256" s="38" t="s">
        <v>536</v>
      </c>
      <c r="C256" s="38">
        <v>200</v>
      </c>
      <c r="D256" s="20">
        <f>100000+300400-155400</f>
        <v>245000</v>
      </c>
    </row>
    <row r="257" spans="1:4" s="3" customFormat="1" ht="85.5" customHeight="1">
      <c r="A257" s="22" t="s">
        <v>228</v>
      </c>
      <c r="B257" s="23" t="s">
        <v>93</v>
      </c>
      <c r="C257" s="23"/>
      <c r="D257" s="24">
        <f t="shared" ref="D257" si="31">D258</f>
        <v>214000</v>
      </c>
    </row>
    <row r="258" spans="1:4" ht="50.25" customHeight="1">
      <c r="A258" s="25" t="s">
        <v>229</v>
      </c>
      <c r="B258" s="26" t="s">
        <v>94</v>
      </c>
      <c r="C258" s="26"/>
      <c r="D258" s="27">
        <f t="shared" ref="D258" si="32">SUM(D259:D260)</f>
        <v>214000</v>
      </c>
    </row>
    <row r="259" spans="1:4" ht="109.5" customHeight="1">
      <c r="A259" s="28" t="s">
        <v>463</v>
      </c>
      <c r="B259" s="38" t="s">
        <v>318</v>
      </c>
      <c r="C259" s="38">
        <v>200</v>
      </c>
      <c r="D259" s="20">
        <f>254000-100000</f>
        <v>154000</v>
      </c>
    </row>
    <row r="260" spans="1:4" ht="75" customHeight="1">
      <c r="A260" s="28" t="s">
        <v>317</v>
      </c>
      <c r="B260" s="38" t="s">
        <v>350</v>
      </c>
      <c r="C260" s="38">
        <v>200</v>
      </c>
      <c r="D260" s="20">
        <f>100000-40000</f>
        <v>60000</v>
      </c>
    </row>
    <row r="261" spans="1:4" s="3" customFormat="1" ht="107.25" customHeight="1">
      <c r="A261" s="32" t="s">
        <v>468</v>
      </c>
      <c r="B261" s="23" t="s">
        <v>469</v>
      </c>
      <c r="C261" s="38"/>
      <c r="D261" s="24">
        <f t="shared" ref="D261" si="33">D262</f>
        <v>342000</v>
      </c>
    </row>
    <row r="262" spans="1:4" ht="102.75" customHeight="1">
      <c r="A262" s="31" t="s">
        <v>457</v>
      </c>
      <c r="B262" s="26" t="s">
        <v>470</v>
      </c>
      <c r="C262" s="38"/>
      <c r="D262" s="27">
        <f>SUM(D263:D264)</f>
        <v>342000</v>
      </c>
    </row>
    <row r="263" spans="1:4" ht="94.5" customHeight="1">
      <c r="A263" s="29" t="s">
        <v>429</v>
      </c>
      <c r="B263" s="38" t="s">
        <v>471</v>
      </c>
      <c r="C263" s="38">
        <v>200</v>
      </c>
      <c r="D263" s="20">
        <f>320000-200000+67000+85000</f>
        <v>272000</v>
      </c>
    </row>
    <row r="264" spans="1:4" ht="72.75" customHeight="1">
      <c r="A264" s="29" t="s">
        <v>430</v>
      </c>
      <c r="B264" s="38" t="s">
        <v>472</v>
      </c>
      <c r="C264" s="38">
        <v>200</v>
      </c>
      <c r="D264" s="20">
        <f>100000-30000</f>
        <v>70000</v>
      </c>
    </row>
    <row r="265" spans="1:4" ht="83.25" customHeight="1">
      <c r="A265" s="22" t="s">
        <v>464</v>
      </c>
      <c r="B265" s="23" t="s">
        <v>95</v>
      </c>
      <c r="C265" s="23"/>
      <c r="D265" s="24">
        <f t="shared" ref="D265:D266" si="34">D266</f>
        <v>260000</v>
      </c>
    </row>
    <row r="266" spans="1:4" s="4" customFormat="1" ht="66.75" customHeight="1">
      <c r="A266" s="22" t="s">
        <v>230</v>
      </c>
      <c r="B266" s="23" t="s">
        <v>96</v>
      </c>
      <c r="C266" s="23"/>
      <c r="D266" s="24">
        <f t="shared" si="34"/>
        <v>260000</v>
      </c>
    </row>
    <row r="267" spans="1:4" s="4" customFormat="1" ht="65.25" customHeight="1">
      <c r="A267" s="25" t="s">
        <v>231</v>
      </c>
      <c r="B267" s="26" t="s">
        <v>97</v>
      </c>
      <c r="C267" s="26"/>
      <c r="D267" s="27">
        <f>SUM(D268:D269)</f>
        <v>260000</v>
      </c>
    </row>
    <row r="268" spans="1:4" s="3" customFormat="1" ht="92.25" customHeight="1">
      <c r="A268" s="28" t="s">
        <v>232</v>
      </c>
      <c r="B268" s="38" t="s">
        <v>98</v>
      </c>
      <c r="C268" s="38">
        <v>200</v>
      </c>
      <c r="D268" s="20">
        <f>200000-50000-100000+100000-50000</f>
        <v>100000</v>
      </c>
    </row>
    <row r="269" spans="1:4" s="3" customFormat="1" ht="106.5" customHeight="1">
      <c r="A269" s="28" t="s">
        <v>353</v>
      </c>
      <c r="B269" s="38" t="s">
        <v>98</v>
      </c>
      <c r="C269" s="38">
        <v>600</v>
      </c>
      <c r="D269" s="20">
        <f>260000-100000</f>
        <v>160000</v>
      </c>
    </row>
    <row r="270" spans="1:4" ht="93.75" customHeight="1">
      <c r="A270" s="22" t="s">
        <v>100</v>
      </c>
      <c r="B270" s="23" t="s">
        <v>99</v>
      </c>
      <c r="C270" s="23"/>
      <c r="D270" s="24">
        <f>D271+D280+D277+D283</f>
        <v>620800</v>
      </c>
    </row>
    <row r="271" spans="1:4" ht="85.5" customHeight="1">
      <c r="A271" s="22" t="s">
        <v>179</v>
      </c>
      <c r="B271" s="23" t="s">
        <v>101</v>
      </c>
      <c r="C271" s="23"/>
      <c r="D271" s="24">
        <f t="shared" ref="D271" si="35">D272+D275</f>
        <v>30000</v>
      </c>
    </row>
    <row r="272" spans="1:4" ht="52.5" customHeight="1">
      <c r="A272" s="25" t="s">
        <v>103</v>
      </c>
      <c r="B272" s="26" t="s">
        <v>102</v>
      </c>
      <c r="C272" s="26"/>
      <c r="D272" s="27">
        <f t="shared" ref="D272" si="36">SUM(D273:D274)</f>
        <v>20000</v>
      </c>
    </row>
    <row r="273" spans="1:4" s="4" customFormat="1" ht="86.25" customHeight="1">
      <c r="A273" s="28" t="s">
        <v>176</v>
      </c>
      <c r="B273" s="38" t="s">
        <v>104</v>
      </c>
      <c r="C273" s="38">
        <v>200</v>
      </c>
      <c r="D273" s="20">
        <v>10000</v>
      </c>
    </row>
    <row r="274" spans="1:4" s="4" customFormat="1" ht="74.25" customHeight="1">
      <c r="A274" s="28" t="s">
        <v>319</v>
      </c>
      <c r="B274" s="38" t="s">
        <v>105</v>
      </c>
      <c r="C274" s="38">
        <v>200</v>
      </c>
      <c r="D274" s="20">
        <v>10000</v>
      </c>
    </row>
    <row r="275" spans="1:4" ht="67.5" customHeight="1">
      <c r="A275" s="25" t="s">
        <v>107</v>
      </c>
      <c r="B275" s="26" t="s">
        <v>106</v>
      </c>
      <c r="C275" s="26"/>
      <c r="D275" s="27">
        <f>SUM(D276:D276)</f>
        <v>10000</v>
      </c>
    </row>
    <row r="276" spans="1:4" ht="84.75" customHeight="1">
      <c r="A276" s="28" t="s">
        <v>178</v>
      </c>
      <c r="B276" s="38" t="s">
        <v>108</v>
      </c>
      <c r="C276" s="38">
        <v>600</v>
      </c>
      <c r="D276" s="20">
        <v>10000</v>
      </c>
    </row>
    <row r="277" spans="1:4" ht="37.5">
      <c r="A277" s="22" t="s">
        <v>507</v>
      </c>
      <c r="B277" s="23" t="s">
        <v>492</v>
      </c>
      <c r="C277" s="23"/>
      <c r="D277" s="24">
        <f>D278</f>
        <v>60000</v>
      </c>
    </row>
    <row r="278" spans="1:4" ht="56.25">
      <c r="A278" s="25" t="s">
        <v>508</v>
      </c>
      <c r="B278" s="26" t="s">
        <v>493</v>
      </c>
      <c r="C278" s="26"/>
      <c r="D278" s="27">
        <f>D279</f>
        <v>60000</v>
      </c>
    </row>
    <row r="279" spans="1:4" ht="93.75">
      <c r="A279" s="28" t="s">
        <v>620</v>
      </c>
      <c r="B279" s="38" t="s">
        <v>621</v>
      </c>
      <c r="C279" s="38">
        <v>300</v>
      </c>
      <c r="D279" s="20">
        <v>60000</v>
      </c>
    </row>
    <row r="280" spans="1:4" s="3" customFormat="1" ht="112.5" customHeight="1">
      <c r="A280" s="22" t="s">
        <v>354</v>
      </c>
      <c r="B280" s="23" t="s">
        <v>109</v>
      </c>
      <c r="C280" s="23"/>
      <c r="D280" s="24">
        <f t="shared" ref="D280:D281" si="37">D281</f>
        <v>154800</v>
      </c>
    </row>
    <row r="281" spans="1:4" ht="70.5" customHeight="1">
      <c r="A281" s="25" t="s">
        <v>355</v>
      </c>
      <c r="B281" s="26" t="s">
        <v>110</v>
      </c>
      <c r="C281" s="26"/>
      <c r="D281" s="27">
        <f t="shared" si="37"/>
        <v>154800</v>
      </c>
    </row>
    <row r="282" spans="1:4" ht="144.75" customHeight="1">
      <c r="A282" s="28" t="s">
        <v>356</v>
      </c>
      <c r="B282" s="38" t="s">
        <v>111</v>
      </c>
      <c r="C282" s="38">
        <v>600</v>
      </c>
      <c r="D282" s="20">
        <v>154800</v>
      </c>
    </row>
    <row r="283" spans="1:4" ht="99" customHeight="1">
      <c r="A283" s="22" t="s">
        <v>643</v>
      </c>
      <c r="B283" s="23" t="s">
        <v>640</v>
      </c>
      <c r="C283" s="23"/>
      <c r="D283" s="24">
        <f>D284</f>
        <v>376000</v>
      </c>
    </row>
    <row r="284" spans="1:4" ht="131.25" customHeight="1">
      <c r="A284" s="25" t="s">
        <v>644</v>
      </c>
      <c r="B284" s="26" t="s">
        <v>641</v>
      </c>
      <c r="C284" s="26"/>
      <c r="D284" s="27">
        <f>D285</f>
        <v>376000</v>
      </c>
    </row>
    <row r="285" spans="1:4" ht="207" customHeight="1">
      <c r="A285" s="28" t="s">
        <v>645</v>
      </c>
      <c r="B285" s="38" t="s">
        <v>642</v>
      </c>
      <c r="C285" s="38">
        <v>300</v>
      </c>
      <c r="D285" s="20">
        <v>376000</v>
      </c>
    </row>
    <row r="286" spans="1:4" ht="70.5" customHeight="1">
      <c r="A286" s="22" t="s">
        <v>233</v>
      </c>
      <c r="B286" s="23" t="s">
        <v>112</v>
      </c>
      <c r="C286" s="23"/>
      <c r="D286" s="24">
        <f>D287+D301+D305+D313</f>
        <v>54143569.489999995</v>
      </c>
    </row>
    <row r="287" spans="1:4" ht="93" customHeight="1">
      <c r="A287" s="22" t="s">
        <v>234</v>
      </c>
      <c r="B287" s="23" t="s">
        <v>113</v>
      </c>
      <c r="C287" s="23"/>
      <c r="D287" s="24">
        <f>D288+D290+D294+D297</f>
        <v>41559336.829999998</v>
      </c>
    </row>
    <row r="288" spans="1:4" s="4" customFormat="1" ht="53.25" customHeight="1">
      <c r="A288" s="25" t="s">
        <v>115</v>
      </c>
      <c r="B288" s="26" t="s">
        <v>114</v>
      </c>
      <c r="C288" s="26"/>
      <c r="D288" s="27">
        <f t="shared" ref="D288" si="38">D289</f>
        <v>1119908.0900000001</v>
      </c>
    </row>
    <row r="289" spans="1:4" s="3" customFormat="1" ht="108.75" customHeight="1">
      <c r="A289" s="28" t="s">
        <v>155</v>
      </c>
      <c r="B289" s="38" t="s">
        <v>116</v>
      </c>
      <c r="C289" s="38">
        <v>100</v>
      </c>
      <c r="D289" s="20">
        <f>1108271.1+11636.99</f>
        <v>1119908.0900000001</v>
      </c>
    </row>
    <row r="290" spans="1:4" ht="69" customHeight="1">
      <c r="A290" s="25" t="s">
        <v>235</v>
      </c>
      <c r="B290" s="26" t="s">
        <v>117</v>
      </c>
      <c r="C290" s="26"/>
      <c r="D290" s="27">
        <f>SUM(D291:D293)</f>
        <v>39839586.539999992</v>
      </c>
    </row>
    <row r="291" spans="1:4" ht="131.25">
      <c r="A291" s="28" t="s">
        <v>236</v>
      </c>
      <c r="B291" s="38" t="s">
        <v>118</v>
      </c>
      <c r="C291" s="38">
        <v>100</v>
      </c>
      <c r="D291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92" spans="1:4" s="4" customFormat="1" ht="92.25" customHeight="1">
      <c r="A292" s="28" t="s">
        <v>465</v>
      </c>
      <c r="B292" s="38" t="s">
        <v>118</v>
      </c>
      <c r="C292" s="38">
        <v>200</v>
      </c>
      <c r="D292" s="20">
        <f>5043727.38-28480.4-13523.35-228224.4+5746.08+183554.11-20000-108815.87-453869.63-16000-1393251.34+271389.63-263843.11-9710-18000+100000-27178.15</f>
        <v>3023520.95</v>
      </c>
    </row>
    <row r="293" spans="1:4" s="3" customFormat="1" ht="75">
      <c r="A293" s="28" t="s">
        <v>237</v>
      </c>
      <c r="B293" s="38" t="s">
        <v>118</v>
      </c>
      <c r="C293" s="38">
        <v>800</v>
      </c>
      <c r="D293" s="20">
        <f>168560-2000-1625-56000-18000</f>
        <v>90935</v>
      </c>
    </row>
    <row r="294" spans="1:4" s="4" customFormat="1" ht="50.25" customHeight="1">
      <c r="A294" s="25" t="s">
        <v>238</v>
      </c>
      <c r="B294" s="26" t="s">
        <v>119</v>
      </c>
      <c r="C294" s="26"/>
      <c r="D294" s="27">
        <f>SUM(D295:D296)</f>
        <v>151000</v>
      </c>
    </row>
    <row r="295" spans="1:4" s="3" customFormat="1" ht="115.5" customHeight="1">
      <c r="A295" s="35" t="s">
        <v>239</v>
      </c>
      <c r="B295" s="38" t="s">
        <v>151</v>
      </c>
      <c r="C295" s="38">
        <v>200</v>
      </c>
      <c r="D295" s="20">
        <f>64000+44000+6000+26000+8000</f>
        <v>148000</v>
      </c>
    </row>
    <row r="296" spans="1:4" ht="102.75" customHeight="1">
      <c r="A296" s="28" t="s">
        <v>240</v>
      </c>
      <c r="B296" s="38" t="s">
        <v>120</v>
      </c>
      <c r="C296" s="38">
        <v>200</v>
      </c>
      <c r="D296" s="20">
        <v>3000</v>
      </c>
    </row>
    <row r="297" spans="1:4" ht="51.75" customHeight="1">
      <c r="A297" s="25" t="s">
        <v>122</v>
      </c>
      <c r="B297" s="26" t="s">
        <v>121</v>
      </c>
      <c r="C297" s="26"/>
      <c r="D297" s="27">
        <f>SUM(D298:D300)</f>
        <v>448842.19999999995</v>
      </c>
    </row>
    <row r="298" spans="1:4" ht="75.75" customHeight="1">
      <c r="A298" s="28" t="s">
        <v>184</v>
      </c>
      <c r="B298" s="38" t="s">
        <v>123</v>
      </c>
      <c r="C298" s="38">
        <v>200</v>
      </c>
      <c r="D298" s="20">
        <v>11273</v>
      </c>
    </row>
    <row r="299" spans="1:4" ht="135" customHeight="1">
      <c r="A299" s="28" t="s">
        <v>185</v>
      </c>
      <c r="B299" s="38" t="s">
        <v>124</v>
      </c>
      <c r="C299" s="38">
        <v>100</v>
      </c>
      <c r="D299" s="20">
        <f>375387.17+344.92</f>
        <v>375732.08999999997</v>
      </c>
    </row>
    <row r="300" spans="1:4" ht="92.25" customHeight="1">
      <c r="A300" s="28" t="s">
        <v>186</v>
      </c>
      <c r="B300" s="38" t="s">
        <v>124</v>
      </c>
      <c r="C300" s="38">
        <v>200</v>
      </c>
      <c r="D300" s="20">
        <v>61837.11</v>
      </c>
    </row>
    <row r="301" spans="1:4" ht="131.25" customHeight="1">
      <c r="A301" s="32" t="s">
        <v>320</v>
      </c>
      <c r="B301" s="23" t="s">
        <v>125</v>
      </c>
      <c r="C301" s="23"/>
      <c r="D301" s="24">
        <f t="shared" ref="D301" si="39">D302</f>
        <v>5127555.4600000009</v>
      </c>
    </row>
    <row r="302" spans="1:4" ht="91.5" customHeight="1">
      <c r="A302" s="25" t="s">
        <v>241</v>
      </c>
      <c r="B302" s="26" t="s">
        <v>126</v>
      </c>
      <c r="C302" s="26"/>
      <c r="D302" s="27">
        <f>D303+D304</f>
        <v>5127555.4600000009</v>
      </c>
    </row>
    <row r="303" spans="1:4" ht="118.5" customHeight="1">
      <c r="A303" s="28" t="s">
        <v>523</v>
      </c>
      <c r="B303" s="38" t="s">
        <v>524</v>
      </c>
      <c r="C303" s="38">
        <v>600</v>
      </c>
      <c r="D303" s="20">
        <v>1393218</v>
      </c>
    </row>
    <row r="304" spans="1:4" ht="109.5" customHeight="1">
      <c r="A304" s="28" t="s">
        <v>420</v>
      </c>
      <c r="B304" s="38" t="s">
        <v>411</v>
      </c>
      <c r="C304" s="38">
        <v>600</v>
      </c>
      <c r="D304" s="20">
        <f>2450000.62+1061072.35+23264.49+200000</f>
        <v>3734337.4600000004</v>
      </c>
    </row>
    <row r="305" spans="1:4" ht="56.25">
      <c r="A305" s="32" t="s">
        <v>321</v>
      </c>
      <c r="B305" s="23" t="s">
        <v>322</v>
      </c>
      <c r="C305" s="23"/>
      <c r="D305" s="24">
        <f>D306+D309</f>
        <v>709810</v>
      </c>
    </row>
    <row r="306" spans="1:4" ht="53.25" customHeight="1">
      <c r="A306" s="31" t="s">
        <v>323</v>
      </c>
      <c r="B306" s="26" t="s">
        <v>324</v>
      </c>
      <c r="C306" s="26"/>
      <c r="D306" s="27">
        <f>SUM(D307:D308)</f>
        <v>225450</v>
      </c>
    </row>
    <row r="307" spans="1:4" s="3" customFormat="1" ht="90.75" customHeight="1">
      <c r="A307" s="29" t="s">
        <v>325</v>
      </c>
      <c r="B307" s="38" t="s">
        <v>326</v>
      </c>
      <c r="C307" s="38">
        <v>200</v>
      </c>
      <c r="D307" s="20">
        <f>40450+100000-15000</f>
        <v>125450</v>
      </c>
    </row>
    <row r="308" spans="1:4" s="3" customFormat="1" ht="90.75" customHeight="1">
      <c r="A308" s="29" t="s">
        <v>570</v>
      </c>
      <c r="B308" s="38" t="s">
        <v>569</v>
      </c>
      <c r="C308" s="38">
        <v>200</v>
      </c>
      <c r="D308" s="20">
        <v>100000</v>
      </c>
    </row>
    <row r="309" spans="1:4" ht="45.75" customHeight="1">
      <c r="A309" s="31" t="s">
        <v>327</v>
      </c>
      <c r="B309" s="26" t="s">
        <v>328</v>
      </c>
      <c r="C309" s="38"/>
      <c r="D309" s="27">
        <f>SUM(D310:D312)</f>
        <v>484360</v>
      </c>
    </row>
    <row r="310" spans="1:4" ht="82.5" customHeight="1">
      <c r="A310" s="29" t="s">
        <v>329</v>
      </c>
      <c r="B310" s="38" t="s">
        <v>330</v>
      </c>
      <c r="C310" s="38">
        <v>200</v>
      </c>
      <c r="D310" s="20">
        <f>258706+18900+37600+39200-41420+22174</f>
        <v>335160</v>
      </c>
    </row>
    <row r="311" spans="1:4" ht="67.5" customHeight="1">
      <c r="A311" s="29" t="s">
        <v>517</v>
      </c>
      <c r="B311" s="38" t="s">
        <v>518</v>
      </c>
      <c r="C311" s="38">
        <v>200</v>
      </c>
      <c r="D311" s="20">
        <f>100000-50000+50000</f>
        <v>100000</v>
      </c>
    </row>
    <row r="312" spans="1:4" ht="81.75" customHeight="1">
      <c r="A312" s="29" t="s">
        <v>665</v>
      </c>
      <c r="B312" s="38" t="s">
        <v>664</v>
      </c>
      <c r="C312" s="38">
        <v>200</v>
      </c>
      <c r="D312" s="20">
        <v>49200</v>
      </c>
    </row>
    <row r="313" spans="1:4" ht="103.5" customHeight="1">
      <c r="A313" s="32" t="s">
        <v>571</v>
      </c>
      <c r="B313" s="23" t="s">
        <v>572</v>
      </c>
      <c r="C313" s="23"/>
      <c r="D313" s="24">
        <f>D314</f>
        <v>6746867.1999999993</v>
      </c>
    </row>
    <row r="314" spans="1:4" ht="48" customHeight="1">
      <c r="A314" s="31" t="s">
        <v>580</v>
      </c>
      <c r="B314" s="26" t="s">
        <v>573</v>
      </c>
      <c r="C314" s="26"/>
      <c r="D314" s="27">
        <f>SUM(D315:D317)</f>
        <v>6746867.1999999993</v>
      </c>
    </row>
    <row r="315" spans="1:4" ht="119.25" customHeight="1">
      <c r="A315" s="29" t="s">
        <v>576</v>
      </c>
      <c r="B315" s="38" t="s">
        <v>574</v>
      </c>
      <c r="C315" s="38">
        <v>100</v>
      </c>
      <c r="D315" s="20">
        <f>966735+17805.61+2317806.9+185637.53+63173.04</f>
        <v>3551158.0799999996</v>
      </c>
    </row>
    <row r="316" spans="1:4" ht="90" customHeight="1">
      <c r="A316" s="29" t="s">
        <v>575</v>
      </c>
      <c r="B316" s="38" t="s">
        <v>574</v>
      </c>
      <c r="C316" s="38">
        <v>200</v>
      </c>
      <c r="D316" s="20">
        <f>20000+124450+22560+113252.09+201746.8+1663251.34+16000+453869.63+210000+131562-6156.89+29550+9710+18000+27178.15+67000</f>
        <v>3101973.1199999996</v>
      </c>
    </row>
    <row r="317" spans="1:4" ht="90" customHeight="1">
      <c r="A317" s="29" t="s">
        <v>622</v>
      </c>
      <c r="B317" s="38" t="s">
        <v>574</v>
      </c>
      <c r="C317" s="38">
        <v>800</v>
      </c>
      <c r="D317" s="20">
        <f>3000+56000+1625+33111</f>
        <v>93736</v>
      </c>
    </row>
    <row r="318" spans="1:4" ht="72" customHeight="1">
      <c r="A318" s="22" t="s">
        <v>128</v>
      </c>
      <c r="B318" s="23" t="s">
        <v>127</v>
      </c>
      <c r="C318" s="23"/>
      <c r="D318" s="24">
        <f>D319+D324+D328</f>
        <v>119400</v>
      </c>
    </row>
    <row r="319" spans="1:4" ht="54.75" customHeight="1">
      <c r="A319" s="22" t="s">
        <v>130</v>
      </c>
      <c r="B319" s="23" t="s">
        <v>129</v>
      </c>
      <c r="C319" s="23"/>
      <c r="D319" s="24">
        <f t="shared" ref="D319" si="40">D320</f>
        <v>89400</v>
      </c>
    </row>
    <row r="320" spans="1:4" ht="35.25" customHeight="1">
      <c r="A320" s="25" t="s">
        <v>132</v>
      </c>
      <c r="B320" s="26" t="s">
        <v>131</v>
      </c>
      <c r="C320" s="26"/>
      <c r="D320" s="27">
        <f>SUM(D321:D323)</f>
        <v>89400</v>
      </c>
    </row>
    <row r="321" spans="1:4" s="3" customFormat="1" ht="75">
      <c r="A321" s="28" t="s">
        <v>443</v>
      </c>
      <c r="B321" s="38" t="s">
        <v>444</v>
      </c>
      <c r="C321" s="38">
        <v>200</v>
      </c>
      <c r="D321" s="20">
        <v>64400</v>
      </c>
    </row>
    <row r="322" spans="1:4" ht="75">
      <c r="A322" s="28" t="s">
        <v>445</v>
      </c>
      <c r="B322" s="38" t="s">
        <v>444</v>
      </c>
      <c r="C322" s="38">
        <v>600</v>
      </c>
      <c r="D322" s="20">
        <v>10000</v>
      </c>
    </row>
    <row r="323" spans="1:4" ht="75">
      <c r="A323" s="28" t="s">
        <v>446</v>
      </c>
      <c r="B323" s="38" t="s">
        <v>447</v>
      </c>
      <c r="C323" s="38">
        <v>200</v>
      </c>
      <c r="D323" s="20">
        <v>15000</v>
      </c>
    </row>
    <row r="324" spans="1:4" s="4" customFormat="1" ht="37.5">
      <c r="A324" s="22" t="s">
        <v>134</v>
      </c>
      <c r="B324" s="23" t="s">
        <v>133</v>
      </c>
      <c r="C324" s="23"/>
      <c r="D324" s="24">
        <f t="shared" ref="D324" si="41">D325</f>
        <v>20000</v>
      </c>
    </row>
    <row r="325" spans="1:4" s="4" customFormat="1" ht="47.25" customHeight="1">
      <c r="A325" s="25" t="s">
        <v>466</v>
      </c>
      <c r="B325" s="26" t="s">
        <v>135</v>
      </c>
      <c r="C325" s="26"/>
      <c r="D325" s="27">
        <f>SUM(D326:D327)</f>
        <v>20000</v>
      </c>
    </row>
    <row r="326" spans="1:4" s="3" customFormat="1" ht="103.5" customHeight="1">
      <c r="A326" s="28" t="s">
        <v>177</v>
      </c>
      <c r="B326" s="38" t="s">
        <v>136</v>
      </c>
      <c r="C326" s="38">
        <v>200</v>
      </c>
      <c r="D326" s="20">
        <v>10000</v>
      </c>
    </row>
    <row r="327" spans="1:4" ht="87" customHeight="1">
      <c r="A327" s="28" t="s">
        <v>448</v>
      </c>
      <c r="B327" s="38" t="s">
        <v>449</v>
      </c>
      <c r="C327" s="38">
        <v>200</v>
      </c>
      <c r="D327" s="20">
        <v>10000</v>
      </c>
    </row>
    <row r="328" spans="1:4" ht="46.5" customHeight="1">
      <c r="A328" s="22" t="s">
        <v>450</v>
      </c>
      <c r="B328" s="23" t="s">
        <v>451</v>
      </c>
      <c r="C328" s="23"/>
      <c r="D328" s="24">
        <f>D329</f>
        <v>10000</v>
      </c>
    </row>
    <row r="329" spans="1:4" ht="48.75" customHeight="1">
      <c r="A329" s="25" t="s">
        <v>452</v>
      </c>
      <c r="B329" s="26" t="s">
        <v>453</v>
      </c>
      <c r="C329" s="26"/>
      <c r="D329" s="27">
        <f>D330</f>
        <v>10000</v>
      </c>
    </row>
    <row r="330" spans="1:4" ht="87" customHeight="1">
      <c r="A330" s="28" t="s">
        <v>454</v>
      </c>
      <c r="B330" s="38" t="s">
        <v>455</v>
      </c>
      <c r="C330" s="38">
        <v>200</v>
      </c>
      <c r="D330" s="20">
        <v>10000</v>
      </c>
    </row>
    <row r="331" spans="1:4" s="3" customFormat="1" ht="93.75">
      <c r="A331" s="32" t="s">
        <v>344</v>
      </c>
      <c r="B331" s="23" t="s">
        <v>331</v>
      </c>
      <c r="C331" s="38"/>
      <c r="D331" s="24">
        <f t="shared" ref="D331" si="42">D332</f>
        <v>1500</v>
      </c>
    </row>
    <row r="332" spans="1:4" ht="33.75" customHeight="1">
      <c r="A332" s="22" t="s">
        <v>341</v>
      </c>
      <c r="B332" s="23" t="s">
        <v>332</v>
      </c>
      <c r="C332" s="23"/>
      <c r="D332" s="24">
        <f t="shared" ref="D332" si="43">D333+D335</f>
        <v>1500</v>
      </c>
    </row>
    <row r="333" spans="1:4" ht="63" customHeight="1">
      <c r="A333" s="31" t="s">
        <v>343</v>
      </c>
      <c r="B333" s="26" t="s">
        <v>333</v>
      </c>
      <c r="C333" s="38"/>
      <c r="D333" s="27">
        <f t="shared" ref="D333" si="44">SUM(D334)</f>
        <v>0</v>
      </c>
    </row>
    <row r="334" spans="1:4" ht="92.25" customHeight="1">
      <c r="A334" s="29" t="s">
        <v>334</v>
      </c>
      <c r="B334" s="38" t="s">
        <v>335</v>
      </c>
      <c r="C334" s="38">
        <v>200</v>
      </c>
      <c r="D334" s="20">
        <f>12000-12000</f>
        <v>0</v>
      </c>
    </row>
    <row r="335" spans="1:4" ht="150">
      <c r="A335" s="31" t="s">
        <v>336</v>
      </c>
      <c r="B335" s="26" t="s">
        <v>337</v>
      </c>
      <c r="C335" s="38"/>
      <c r="D335" s="27">
        <f t="shared" ref="D335" si="45">D336</f>
        <v>1500</v>
      </c>
    </row>
    <row r="336" spans="1:4" s="4" customFormat="1" ht="93" customHeight="1">
      <c r="A336" s="29" t="s">
        <v>342</v>
      </c>
      <c r="B336" s="38" t="s">
        <v>338</v>
      </c>
      <c r="C336" s="38">
        <v>200</v>
      </c>
      <c r="D336" s="20">
        <v>1500</v>
      </c>
    </row>
    <row r="337" spans="1:4" ht="71.25" customHeight="1">
      <c r="A337" s="32" t="s">
        <v>378</v>
      </c>
      <c r="B337" s="23" t="s">
        <v>381</v>
      </c>
      <c r="C337" s="23"/>
      <c r="D337" s="24">
        <f>D338</f>
        <v>255650</v>
      </c>
    </row>
    <row r="338" spans="1:4" ht="75.75" customHeight="1">
      <c r="A338" s="32" t="s">
        <v>379</v>
      </c>
      <c r="B338" s="23" t="s">
        <v>382</v>
      </c>
      <c r="C338" s="23"/>
      <c r="D338" s="24">
        <f>D339</f>
        <v>255650</v>
      </c>
    </row>
    <row r="339" spans="1:4" ht="52.5" customHeight="1">
      <c r="A339" s="31" t="s">
        <v>380</v>
      </c>
      <c r="B339" s="26" t="s">
        <v>383</v>
      </c>
      <c r="C339" s="26"/>
      <c r="D339" s="27">
        <f>SUM(D340:D342)</f>
        <v>255650</v>
      </c>
    </row>
    <row r="340" spans="1:4" ht="85.5" customHeight="1">
      <c r="A340" s="29" t="s">
        <v>386</v>
      </c>
      <c r="B340" s="38" t="s">
        <v>384</v>
      </c>
      <c r="C340" s="38">
        <v>200</v>
      </c>
      <c r="D340" s="20">
        <v>4000</v>
      </c>
    </row>
    <row r="341" spans="1:4" ht="72.75" customHeight="1">
      <c r="A341" s="29" t="s">
        <v>387</v>
      </c>
      <c r="B341" s="38" t="s">
        <v>385</v>
      </c>
      <c r="C341" s="38">
        <v>200</v>
      </c>
      <c r="D341" s="20">
        <f>155750+15200-21700+12000+29500</f>
        <v>190750</v>
      </c>
    </row>
    <row r="342" spans="1:4" ht="84" customHeight="1">
      <c r="A342" s="29" t="s">
        <v>388</v>
      </c>
      <c r="B342" s="38" t="s">
        <v>385</v>
      </c>
      <c r="C342" s="38">
        <v>600</v>
      </c>
      <c r="D342" s="20">
        <v>60900</v>
      </c>
    </row>
    <row r="343" spans="1:4" ht="49.5" customHeight="1">
      <c r="A343" s="32" t="s">
        <v>437</v>
      </c>
      <c r="B343" s="23" t="s">
        <v>438</v>
      </c>
      <c r="C343" s="38"/>
      <c r="D343" s="24">
        <f>D344</f>
        <v>5960369.6600000011</v>
      </c>
    </row>
    <row r="344" spans="1:4" s="4" customFormat="1" ht="94.5" customHeight="1">
      <c r="A344" s="22" t="s">
        <v>403</v>
      </c>
      <c r="B344" s="23" t="s">
        <v>137</v>
      </c>
      <c r="C344" s="23"/>
      <c r="D344" s="24">
        <f>SUM(D345:D357)</f>
        <v>5960369.6600000011</v>
      </c>
    </row>
    <row r="345" spans="1:4" s="4" customFormat="1" ht="112.5" customHeight="1">
      <c r="A345" s="28" t="s">
        <v>242</v>
      </c>
      <c r="B345" s="38" t="s">
        <v>138</v>
      </c>
      <c r="C345" s="38">
        <v>100</v>
      </c>
      <c r="D345" s="20">
        <f>1577934.87+6640.2+22238.6-228562.77</f>
        <v>1378250.9000000001</v>
      </c>
    </row>
    <row r="346" spans="1:4" s="4" customFormat="1" ht="74.25" customHeight="1">
      <c r="A346" s="28" t="s">
        <v>243</v>
      </c>
      <c r="B346" s="38" t="s">
        <v>138</v>
      </c>
      <c r="C346" s="38">
        <v>200</v>
      </c>
      <c r="D346" s="20">
        <f>631440-6640.2-201746.8</f>
        <v>423053.00000000006</v>
      </c>
    </row>
    <row r="347" spans="1:4" ht="48" customHeight="1">
      <c r="A347" s="28" t="s">
        <v>244</v>
      </c>
      <c r="B347" s="38" t="s">
        <v>138</v>
      </c>
      <c r="C347" s="38">
        <v>800</v>
      </c>
      <c r="D347" s="20">
        <f>6000-3000</f>
        <v>3000</v>
      </c>
    </row>
    <row r="348" spans="1:4" ht="115.5" customHeight="1">
      <c r="A348" s="28" t="s">
        <v>245</v>
      </c>
      <c r="B348" s="38" t="s">
        <v>139</v>
      </c>
      <c r="C348" s="38">
        <v>100</v>
      </c>
      <c r="D348" s="20">
        <v>72000</v>
      </c>
    </row>
    <row r="349" spans="1:4" ht="114" customHeight="1">
      <c r="A349" s="28" t="s">
        <v>156</v>
      </c>
      <c r="B349" s="38" t="s">
        <v>140</v>
      </c>
      <c r="C349" s="38">
        <v>100</v>
      </c>
      <c r="D349" s="20">
        <f>1235913.34+13000.77</f>
        <v>1248914.1100000001</v>
      </c>
    </row>
    <row r="350" spans="1:4" ht="69" customHeight="1">
      <c r="A350" s="28" t="s">
        <v>246</v>
      </c>
      <c r="B350" s="38" t="s">
        <v>140</v>
      </c>
      <c r="C350" s="38">
        <v>200</v>
      </c>
      <c r="D350" s="20">
        <f>224352.15+4000</f>
        <v>228352.15</v>
      </c>
    </row>
    <row r="351" spans="1:4" ht="112.5">
      <c r="A351" s="28" t="s">
        <v>157</v>
      </c>
      <c r="B351" s="38" t="s">
        <v>141</v>
      </c>
      <c r="C351" s="38">
        <v>100</v>
      </c>
      <c r="D351" s="20">
        <f>740644.16+7776.46+61459</f>
        <v>809879.62</v>
      </c>
    </row>
    <row r="352" spans="1:4" ht="108" customHeight="1">
      <c r="A352" s="29" t="s">
        <v>158</v>
      </c>
      <c r="B352" s="38" t="s">
        <v>150</v>
      </c>
      <c r="C352" s="38">
        <v>100</v>
      </c>
      <c r="D352" s="20">
        <f>1087568.09+11636.99+429660</f>
        <v>1528865.08</v>
      </c>
    </row>
    <row r="353" spans="1:4" ht="160.5" customHeight="1">
      <c r="A353" s="29" t="s">
        <v>578</v>
      </c>
      <c r="B353" s="38" t="s">
        <v>577</v>
      </c>
      <c r="C353" s="38">
        <v>100</v>
      </c>
      <c r="D353" s="20">
        <v>146214</v>
      </c>
    </row>
    <row r="354" spans="1:4" ht="153.75" customHeight="1">
      <c r="A354" s="29" t="s">
        <v>627</v>
      </c>
      <c r="B354" s="38" t="s">
        <v>623</v>
      </c>
      <c r="C354" s="38">
        <v>100</v>
      </c>
      <c r="D354" s="20">
        <v>30460.2</v>
      </c>
    </row>
    <row r="355" spans="1:4" ht="147.75" customHeight="1">
      <c r="A355" s="29" t="s">
        <v>628</v>
      </c>
      <c r="B355" s="38" t="s">
        <v>624</v>
      </c>
      <c r="C355" s="38">
        <v>100</v>
      </c>
      <c r="D355" s="20">
        <v>30460.2</v>
      </c>
    </row>
    <row r="356" spans="1:4" ht="144" customHeight="1">
      <c r="A356" s="29" t="s">
        <v>629</v>
      </c>
      <c r="B356" s="38" t="s">
        <v>625</v>
      </c>
      <c r="C356" s="38">
        <v>100</v>
      </c>
      <c r="D356" s="20">
        <v>30460.2</v>
      </c>
    </row>
    <row r="357" spans="1:4" ht="153" customHeight="1">
      <c r="A357" s="29" t="s">
        <v>630</v>
      </c>
      <c r="B357" s="38" t="s">
        <v>626</v>
      </c>
      <c r="C357" s="38">
        <v>100</v>
      </c>
      <c r="D357" s="20">
        <v>30460.2</v>
      </c>
    </row>
    <row r="358" spans="1:4" ht="50.25" customHeight="1">
      <c r="A358" s="32" t="s">
        <v>439</v>
      </c>
      <c r="B358" s="23" t="s">
        <v>440</v>
      </c>
      <c r="C358" s="38"/>
      <c r="D358" s="24">
        <f>D359</f>
        <v>3217934.9200000004</v>
      </c>
    </row>
    <row r="359" spans="1:4" ht="73.5" customHeight="1">
      <c r="A359" s="22" t="s">
        <v>346</v>
      </c>
      <c r="B359" s="23" t="s">
        <v>347</v>
      </c>
      <c r="C359" s="23"/>
      <c r="D359" s="24">
        <f>SUM(D360:D376)</f>
        <v>3217934.9200000004</v>
      </c>
    </row>
    <row r="360" spans="1:4" ht="64.5" customHeight="1">
      <c r="A360" s="28" t="s">
        <v>442</v>
      </c>
      <c r="B360" s="38" t="s">
        <v>441</v>
      </c>
      <c r="C360" s="38">
        <v>200</v>
      </c>
      <c r="D360" s="20">
        <f>1690118.15-500000+312000-271389.63-200000-70000</f>
        <v>960728.52</v>
      </c>
    </row>
    <row r="361" spans="1:4" ht="50.25" customHeight="1">
      <c r="A361" s="28" t="s">
        <v>589</v>
      </c>
      <c r="B361" s="38" t="s">
        <v>441</v>
      </c>
      <c r="C361" s="38">
        <v>800</v>
      </c>
      <c r="D361" s="20">
        <f>33000+60000</f>
        <v>93000</v>
      </c>
    </row>
    <row r="362" spans="1:4" ht="105" customHeight="1">
      <c r="A362" s="28" t="s">
        <v>467</v>
      </c>
      <c r="B362" s="38" t="s">
        <v>389</v>
      </c>
      <c r="C362" s="38">
        <v>500</v>
      </c>
      <c r="D362" s="20">
        <f>105366.75+31647.23</f>
        <v>137013.98000000001</v>
      </c>
    </row>
    <row r="363" spans="1:4" ht="144" customHeight="1">
      <c r="A363" s="36" t="s">
        <v>509</v>
      </c>
      <c r="B363" s="38" t="s">
        <v>494</v>
      </c>
      <c r="C363" s="38">
        <v>500</v>
      </c>
      <c r="D363" s="20">
        <v>1958.8</v>
      </c>
    </row>
    <row r="364" spans="1:4" ht="218.25" customHeight="1">
      <c r="A364" s="36" t="s">
        <v>510</v>
      </c>
      <c r="B364" s="38" t="s">
        <v>495</v>
      </c>
      <c r="C364" s="38">
        <v>500</v>
      </c>
      <c r="D364" s="20">
        <v>8247.2000000000007</v>
      </c>
    </row>
    <row r="365" spans="1:4" ht="87.75" customHeight="1">
      <c r="A365" s="36" t="s">
        <v>511</v>
      </c>
      <c r="B365" s="38" t="s">
        <v>496</v>
      </c>
      <c r="C365" s="38">
        <v>500</v>
      </c>
      <c r="D365" s="20">
        <v>1958.8</v>
      </c>
    </row>
    <row r="366" spans="1:4" ht="105" customHeight="1">
      <c r="A366" s="36" t="s">
        <v>512</v>
      </c>
      <c r="B366" s="38" t="s">
        <v>497</v>
      </c>
      <c r="C366" s="38">
        <v>500</v>
      </c>
      <c r="D366" s="20">
        <v>1958.8</v>
      </c>
    </row>
    <row r="367" spans="1:4" ht="129" customHeight="1">
      <c r="A367" s="36" t="s">
        <v>513</v>
      </c>
      <c r="B367" s="38" t="s">
        <v>498</v>
      </c>
      <c r="C367" s="38">
        <v>500</v>
      </c>
      <c r="D367" s="20">
        <v>1958.8</v>
      </c>
    </row>
    <row r="368" spans="1:4" ht="127.5" customHeight="1">
      <c r="A368" s="36" t="s">
        <v>514</v>
      </c>
      <c r="B368" s="38" t="s">
        <v>499</v>
      </c>
      <c r="C368" s="38">
        <v>500</v>
      </c>
      <c r="D368" s="20">
        <v>1958.8</v>
      </c>
    </row>
    <row r="369" spans="1:4" ht="90" customHeight="1">
      <c r="A369" s="36" t="s">
        <v>515</v>
      </c>
      <c r="B369" s="38" t="s">
        <v>500</v>
      </c>
      <c r="C369" s="38">
        <v>500</v>
      </c>
      <c r="D369" s="20">
        <v>1958.8</v>
      </c>
    </row>
    <row r="370" spans="1:4" ht="112.5" customHeight="1">
      <c r="A370" s="36" t="s">
        <v>648</v>
      </c>
      <c r="B370" s="38" t="s">
        <v>647</v>
      </c>
      <c r="C370" s="38">
        <v>200</v>
      </c>
      <c r="D370" s="20">
        <v>100000</v>
      </c>
    </row>
    <row r="371" spans="1:4" ht="112.5" customHeight="1">
      <c r="A371" s="36" t="s">
        <v>672</v>
      </c>
      <c r="B371" s="38" t="s">
        <v>671</v>
      </c>
      <c r="C371" s="38">
        <v>200</v>
      </c>
      <c r="D371" s="20">
        <v>138000</v>
      </c>
    </row>
    <row r="372" spans="1:4" ht="82.5" customHeight="1">
      <c r="A372" s="36" t="s">
        <v>676</v>
      </c>
      <c r="B372" s="38" t="s">
        <v>677</v>
      </c>
      <c r="C372" s="38">
        <v>800</v>
      </c>
      <c r="D372" s="20">
        <v>50000</v>
      </c>
    </row>
    <row r="373" spans="1:4" ht="87" customHeight="1">
      <c r="A373" s="28" t="s">
        <v>397</v>
      </c>
      <c r="B373" s="38" t="s">
        <v>396</v>
      </c>
      <c r="C373" s="38">
        <v>500</v>
      </c>
      <c r="D373" s="20">
        <f>5620+13242</f>
        <v>18862</v>
      </c>
    </row>
    <row r="374" spans="1:4" ht="65.25" customHeight="1">
      <c r="A374" s="28" t="s">
        <v>391</v>
      </c>
      <c r="B374" s="38" t="s">
        <v>390</v>
      </c>
      <c r="C374" s="38">
        <v>300</v>
      </c>
      <c r="D374" s="20">
        <v>1533498.25</v>
      </c>
    </row>
    <row r="375" spans="1:4" ht="105" customHeight="1">
      <c r="A375" s="28" t="s">
        <v>646</v>
      </c>
      <c r="B375" s="38" t="s">
        <v>345</v>
      </c>
      <c r="C375" s="38">
        <v>200</v>
      </c>
      <c r="D375" s="20">
        <f>6606+3454.22-10060.22+65398.95</f>
        <v>65398.95</v>
      </c>
    </row>
    <row r="376" spans="1:4" ht="168.75" customHeight="1">
      <c r="A376" s="28" t="s">
        <v>525</v>
      </c>
      <c r="B376" s="38" t="s">
        <v>526</v>
      </c>
      <c r="C376" s="38">
        <v>200</v>
      </c>
      <c r="D376" s="20">
        <v>101433.22</v>
      </c>
    </row>
    <row r="377" spans="1:4" ht="38.25" customHeight="1">
      <c r="A377" s="39" t="s">
        <v>421</v>
      </c>
      <c r="B377" s="40"/>
      <c r="C377" s="41"/>
      <c r="D377" s="24">
        <f>D26+D115+D183+D221+D245+D265+D270+D286+D318++D331+D337+D343+D358</f>
        <v>378926477.94000006</v>
      </c>
    </row>
    <row r="378" spans="1:4">
      <c r="A378" s="8"/>
      <c r="B378" s="9"/>
      <c r="C378" s="10"/>
      <c r="D378" s="15" t="s">
        <v>546</v>
      </c>
    </row>
    <row r="379" spans="1:4">
      <c r="A379" s="5"/>
      <c r="B379" s="5"/>
      <c r="C379" s="6"/>
      <c r="D379" s="5"/>
    </row>
    <row r="380" spans="1:4" s="4" customFormat="1">
      <c r="A380" s="5"/>
      <c r="B380" s="5"/>
      <c r="C380" s="6"/>
      <c r="D380" s="7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  <row r="1983" spans="1:4">
      <c r="A1983" s="5"/>
      <c r="B1983" s="5"/>
      <c r="C1983" s="6"/>
      <c r="D1983" s="5"/>
    </row>
    <row r="1984" spans="1:4">
      <c r="A1984" s="5"/>
      <c r="B1984" s="5"/>
      <c r="C1984" s="6"/>
      <c r="D1984" s="5"/>
    </row>
    <row r="1985" spans="1:4">
      <c r="A1985" s="5"/>
      <c r="B1985" s="5"/>
      <c r="C1985" s="6"/>
      <c r="D1985" s="5"/>
    </row>
    <row r="1986" spans="1:4">
      <c r="A1986" s="5"/>
      <c r="B1986" s="5"/>
      <c r="C1986" s="6"/>
      <c r="D1986" s="5"/>
    </row>
    <row r="1987" spans="1:4">
      <c r="A1987" s="5"/>
      <c r="B1987" s="5"/>
      <c r="C1987" s="6"/>
      <c r="D1987" s="5"/>
    </row>
    <row r="1988" spans="1:4">
      <c r="A1988" s="5"/>
      <c r="B1988" s="5"/>
      <c r="C1988" s="6"/>
      <c r="D1988" s="5"/>
    </row>
    <row r="1989" spans="1:4">
      <c r="A1989" s="5"/>
      <c r="B1989" s="5"/>
      <c r="C1989" s="6"/>
      <c r="D1989" s="5"/>
    </row>
    <row r="1990" spans="1:4">
      <c r="A1990" s="5"/>
      <c r="B1990" s="5"/>
      <c r="C1990" s="6"/>
      <c r="D1990" s="5"/>
    </row>
    <row r="1991" spans="1:4">
      <c r="A1991" s="5"/>
      <c r="B1991" s="5"/>
      <c r="C1991" s="6"/>
      <c r="D1991" s="5"/>
    </row>
    <row r="1992" spans="1:4">
      <c r="A1992" s="5"/>
      <c r="B1992" s="5"/>
      <c r="C1992" s="6"/>
      <c r="D1992" s="5"/>
    </row>
    <row r="1993" spans="1:4">
      <c r="A1993" s="5"/>
      <c r="B1993" s="5"/>
      <c r="C1993" s="6"/>
      <c r="D1993" s="5"/>
    </row>
    <row r="1994" spans="1:4">
      <c r="A1994" s="5"/>
      <c r="B1994" s="5"/>
      <c r="C1994" s="6"/>
      <c r="D1994" s="5"/>
    </row>
    <row r="1995" spans="1:4">
      <c r="A1995" s="5"/>
      <c r="B1995" s="5"/>
      <c r="C1995" s="6"/>
      <c r="D1995" s="5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2020-10-26T10:22:08Z</dcterms:modified>
</cp:coreProperties>
</file>