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1 Доходы по кодам классиф" sheetId="2" r:id="rId2"/>
  </sheets>
  <definedNames>
    <definedName name="_xlnm.Print_Titles" localSheetId="1">'Прил 1 Доходы по кодам классиф'!$13:$13</definedName>
  </definedNames>
  <calcPr fullCalcOnLoad="1"/>
</workbook>
</file>

<file path=xl/sharedStrings.xml><?xml version="1.0" encoding="utf-8"?>
<sst xmlns="http://schemas.openxmlformats.org/spreadsheetml/2006/main" count="240" uniqueCount="209">
  <si>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</si>
  <si>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</si>
  <si>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</si>
  <si>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</si>
  <si>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</si>
  <si>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</si>
  <si>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</si>
  <si>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</si>
  <si>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</si>
  <si>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</si>
  <si>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</si>
  <si>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</si>
  <si>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</si>
  <si>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</si>
  <si>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</si>
  <si>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</si>
  <si>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</si>
  <si>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</si>
  <si>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</si>
  <si>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</si>
  <si>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</si>
  <si>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</si>
  <si>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</si>
  <si>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</si>
  <si>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</si>
  <si>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</si>
  <si>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</si>
  <si>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</si>
  <si>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</si>
  <si>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</si>
  <si>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</si>
  <si>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</si>
  <si>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</si>
  <si>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</si>
  <si>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</si>
  <si>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</si>
  <si>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</si>
  <si>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</si>
  <si>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</si>
  <si>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</si>
  <si>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</si>
  <si>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</si>
  <si>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</si>
  <si>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</si>
  <si>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</si>
  <si>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</si>
  <si>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</si>
  <si>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</si>
  <si>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</si>
  <si>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</si>
  <si>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</si>
  <si>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</si>
  <si>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</si>
  <si>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</si>
  <si>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</si>
  <si>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</si>
  <si>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</si>
  <si>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</si>
  <si>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</si>
  <si>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</si>
  <si>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</si>
  <si>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</si>
  <si>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</si>
  <si>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</si>
  <si>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</si>
  <si>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</si>
  <si>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</si>
  <si>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</si>
  <si>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</si>
  <si>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</si>
  <si>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</si>
  <si>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</si>
  <si>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</si>
  <si>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</si>
  <si>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</si>
  <si>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</si>
  <si>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</si>
  <si>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</si>
  <si>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</si>
  <si>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</si>
  <si>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</si>
  <si>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</si>
  <si>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</si>
  <si>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</si>
  <si>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</si>
  <si>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</si>
  <si>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</si>
  <si>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</si>
  <si>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</si>
  <si>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</si>
  <si>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</si>
  <si>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</si>
  <si>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</si>
  <si>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</si>
  <si>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</si>
  <si>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</si>
  <si>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</si>
  <si>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</si>
  <si>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</si>
  <si>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</si>
  <si>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</si>
  <si>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</si>
  <si>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</si>
  <si>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</si>
  <si>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</si>
  <si>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</si>
  <si>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</si>
  <si>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</si>
  <si>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</si>
  <si>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</si>
  <si>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</si>
  <si>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</si>
  <si>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</si>
  <si>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</si>
  <si>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</si>
  <si>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</si>
  <si>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</si>
  <si>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</si>
  <si>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</si>
  <si>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</si>
  <si>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</si>
  <si>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</si>
  <si>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</si>
  <si>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</si>
  <si>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</si>
  <si>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</si>
  <si>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</si>
  <si>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</si>
  <si>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</si>
  <si>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</si>
  <si>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</si>
  <si>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</si>
  <si>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</si>
  <si>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</si>
  <si>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</si>
  <si>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</si>
  <si>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</si>
  <si>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</si>
  <si>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</si>
  <si>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</si>
  <si>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</si>
  <si>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</si>
  <si>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</si>
  <si>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</si>
  <si>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</si>
  <si>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</si>
  <si>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</si>
  <si>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</si>
  <si>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</si>
  <si>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</si>
  <si>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</si>
  <si>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</si>
  <si>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</si>
  <si>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</si>
  <si>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</si>
  <si>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</si>
  <si>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</si>
  <si>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</si>
  <si>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</si>
  <si>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</si>
  <si>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</si>
  <si>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</si>
  <si>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</si>
  <si>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000 2 07 00000 00 0000 000</t>
  </si>
  <si>
    <t>ПРОЧИЕ БЕЗВОЗМЕЗДНЫЕ ПОСТУПЛЕНИЯ</t>
  </si>
  <si>
    <t xml:space="preserve">Прочие безвозмездные поступления в бюджеты городских поселений
</t>
  </si>
  <si>
    <t xml:space="preserve">000 2 07 05000 13 0000 150
</t>
  </si>
  <si>
    <t xml:space="preserve">000 2 07 05030 13 0000 150
</t>
  </si>
  <si>
    <t xml:space="preserve">035 2 07 05030 13 0000 150
</t>
  </si>
  <si>
    <t>035 1 17 05050 13 0000 180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</si>
  <si>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</si>
  <si>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035 2 02 25527 13 0000 150</t>
  </si>
  <si>
    <t>000 2 02 25527 13 0000 150</t>
  </si>
  <si>
    <t>000 2 02 25527 00 0000 150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</si>
  <si>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</si>
  <si>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</si>
  <si>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</si>
  <si>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000 1 14 06025 13 0000 430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</si>
  <si>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</si>
  <si>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 xml:space="preserve">035 1 14 06025 13 0000 430
</t>
  </si>
  <si>
    <t>Приложение № 1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</si>
  <si>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</si>
  <si>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</si>
  <si>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</si>
  <si>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</si>
  <si>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"Об утверждении отчёта об    
исполнении бюджета Южского    
городского поселения за 2019 год"</t>
  </si>
  <si>
    <t>Доходы бюджета Южского городского поселения по кодам</t>
  </si>
  <si>
    <t>Таблица 1</t>
  </si>
  <si>
    <t>классификации доходов бюджетов за 2019 год</t>
  </si>
  <si>
    <t>Код классификации доходов бюджетов Российской Федерации</t>
  </si>
  <si>
    <t>Наименование доходов</t>
  </si>
  <si>
    <t>Процент исполнения (%)</t>
  </si>
  <si>
    <t>Исполнено за 2019 год                (руб.)</t>
  </si>
  <si>
    <t>Утверждено на год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</si>
  <si>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годов", (руб.)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</si>
  <si>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 с учетом изменений на отчетную дату, (руб.)</t>
  </si>
  <si>
    <t>100 1 03 02230 01 0000 110</t>
  </si>
  <si>
    <t xml:space="preserve">100 1 03 02231 01 0000 110*
</t>
  </si>
  <si>
    <t>100 1 03 02241 01 0000 110*</t>
  </si>
  <si>
    <t xml:space="preserve">100 1 03 02251 01 0000 110*
</t>
  </si>
  <si>
    <t xml:space="preserve">100 1 03 02261 01 0000 110*
</t>
  </si>
  <si>
    <t>100 1 03 02240 01 0000 110</t>
  </si>
  <si>
    <t>100 1 03 02250 01 0000 110</t>
  </si>
  <si>
    <t>100 1 03 02260 01 0000 110</t>
  </si>
  <si>
    <t xml:space="preserve">*КБК доходов изменены в соответствии с Приказом Минфина России от 08.06.2018 № 132н "О Порядке формирования и применения кодов бюджетной классификации Российской Федерации, их структуре и принципах назначения" </t>
  </si>
  <si>
    <t>000 1 03 02231 01 0000 110*</t>
  </si>
  <si>
    <t>000 1 03 02241 01 0000 110*</t>
  </si>
  <si>
    <t>000 1 03 02251 01 0000 110*</t>
  </si>
  <si>
    <t>000 1 03 02261 01 0000 110*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</si>
</sst>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" fontId="1" fillId="0" borderId="0" xfId="0" applyNumberFormat="1" applyFont="1" applyFill="1" applyAlignment="1">
      <alignment horizontal="right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shrinkToFit="1"/>
    </xf>
    <xf numFmtId="4" fontId="1" fillId="33" borderId="10" xfId="0" applyNumberFormat="1" applyFont="1" applyFill="1" applyBorder="1" applyAlignment="1">
      <alignment vertical="top" wrapText="1" shrinkToFit="1"/>
    </xf>
    <xf numFmtId="4" fontId="2" fillId="33" borderId="10" xfId="0" applyNumberFormat="1" applyFont="1" applyFill="1" applyBorder="1" applyAlignment="1" applyProtection="1">
      <alignment vertical="top" shrinkToFit="1"/>
      <protection locked="0"/>
    </xf>
    <xf numFmtId="4" fontId="1" fillId="33" borderId="10" xfId="0" applyNumberFormat="1" applyFont="1" applyFill="1" applyBorder="1" applyAlignment="1" applyProtection="1">
      <alignment vertical="top" shrinkToFit="1"/>
      <protection locked="0"/>
    </xf>
    <xf numFmtId="4" fontId="1" fillId="33" borderId="0" xfId="0" applyNumberFormat="1" applyFont="1" applyFill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18">
      <selection activeCell="A1" sqref="A1:F1"/>
    </sheetView>
  </sheetViews>
  <sheetFormatPr defaultColWidth="9.00390625" defaultRowHeight="12.75"/>
  <cols>
    <col min="1" max="1" width="35.125" style="8" customWidth="1"/>
    <col min="2" max="2" width="48.375" style="9" customWidth="1"/>
    <col min="3" max="3" width="19.25390625" style="9" customWidth="1"/>
    <col min="4" max="4" width="19.375" style="9" customWidth="1"/>
    <col min="5" max="5" width="19.125" style="10" customWidth="1"/>
    <col min="6" max="6" width="11.75390625" style="9" customWidth="1"/>
    <col min="7" max="16384" width="9.125" style="9" customWidth="1"/>
  </cols>
  <sheetData>
    <row r="1" spans="1:6" ht="18.75">
      <c r="A1" s="72" t="s">
        <v>180</v>
      </c>
      <c r="B1" s="72"/>
      <c r="C1" s="72"/>
      <c r="D1" s="72"/>
      <c r="E1" s="72"/>
      <c r="F1" s="72"/>
    </row>
    <row r="2" spans="1:6" ht="21" customHeight="1">
      <c r="A2" s="72" t="s">
        <v>181</v>
      </c>
      <c r="B2" s="72"/>
      <c r="C2" s="72"/>
      <c r="D2" s="72"/>
      <c r="E2" s="72"/>
      <c r="F2" s="72"/>
    </row>
    <row r="3" spans="1:6" ht="18.75">
      <c r="A3" s="72" t="s">
        <v>182</v>
      </c>
      <c r="B3" s="72"/>
      <c r="C3" s="72"/>
      <c r="D3" s="72"/>
      <c r="E3" s="72"/>
      <c r="F3" s="72"/>
    </row>
    <row r="4" spans="1:6" ht="22.5" customHeight="1">
      <c r="A4" s="72" t="s">
        <v>183</v>
      </c>
      <c r="B4" s="72"/>
      <c r="C4" s="72"/>
      <c r="D4" s="72"/>
      <c r="E4" s="72"/>
      <c r="F4" s="72"/>
    </row>
    <row r="5" spans="1:6" ht="60.75" customHeight="1">
      <c r="A5" s="72" t="s">
        <v>185</v>
      </c>
      <c r="B5" s="72"/>
      <c r="C5" s="72"/>
      <c r="D5" s="72"/>
      <c r="E5" s="72"/>
      <c r="F5" s="72"/>
    </row>
    <row r="6" spans="1:6" ht="25.5" customHeight="1">
      <c r="A6" s="72" t="s">
        <v>184</v>
      </c>
      <c r="B6" s="72"/>
      <c r="C6" s="72"/>
      <c r="D6" s="72"/>
      <c r="E6" s="72"/>
      <c r="F6" s="72"/>
    </row>
    <row r="7" spans="1:6" ht="20.25" customHeight="1">
      <c r="A7" s="68" t="s">
        <v>186</v>
      </c>
      <c r="B7" s="68"/>
      <c r="C7" s="68"/>
      <c r="D7" s="68"/>
      <c r="E7" s="68"/>
      <c r="F7" s="68"/>
    </row>
    <row r="8" spans="1:6" ht="21.75" customHeight="1">
      <c r="A8" s="68" t="s">
        <v>188</v>
      </c>
      <c r="B8" s="68"/>
      <c r="C8" s="68"/>
      <c r="D8" s="68"/>
      <c r="E8" s="68"/>
      <c r="F8" s="68"/>
    </row>
    <row r="9" spans="2:6" ht="18.75">
      <c r="B9" s="52"/>
      <c r="C9" s="52"/>
      <c r="D9" s="52"/>
      <c r="E9" s="52"/>
      <c r="F9" s="52" t="s">
        <v>187</v>
      </c>
    </row>
    <row r="10" spans="2:6" ht="18.75">
      <c r="B10" s="71"/>
      <c r="C10" s="71"/>
      <c r="D10" s="71"/>
      <c r="E10" s="71"/>
      <c r="F10" s="71"/>
    </row>
    <row r="11" spans="1:6" ht="18.75">
      <c r="A11" s="66" t="s">
        <v>189</v>
      </c>
      <c r="B11" s="66" t="s">
        <v>190</v>
      </c>
      <c r="C11" s="64" t="s">
        <v>193</v>
      </c>
      <c r="D11" s="65"/>
      <c r="E11" s="66" t="s">
        <v>192</v>
      </c>
      <c r="F11" s="66" t="s">
        <v>191</v>
      </c>
    </row>
    <row r="12" spans="1:6" ht="341.25" customHeight="1">
      <c r="A12" s="67"/>
      <c r="B12" s="67"/>
      <c r="C12" s="53" t="s">
        <v>194</v>
      </c>
      <c r="D12" s="53" t="s">
        <v>195</v>
      </c>
      <c r="E12" s="67"/>
      <c r="F12" s="67"/>
    </row>
    <row r="13" spans="1:6" ht="18.75">
      <c r="A13" s="28">
        <v>1</v>
      </c>
      <c r="B13" s="28">
        <v>2</v>
      </c>
      <c r="C13" s="29">
        <v>3</v>
      </c>
      <c r="D13" s="30">
        <v>4</v>
      </c>
      <c r="E13" s="30">
        <v>5</v>
      </c>
      <c r="F13" s="30">
        <v>6</v>
      </c>
    </row>
    <row r="14" spans="1:6" s="15" customFormat="1" ht="37.5">
      <c r="A14" s="31" t="s">
        <v>9</v>
      </c>
      <c r="B14" s="32" t="s">
        <v>24</v>
      </c>
      <c r="C14" s="56">
        <f>C15+C23+C45+C56+C67+C75+C41+C79</f>
        <v>41787885.37</v>
      </c>
      <c r="D14" s="33">
        <f>D15+D23+D45+D56+D67+D75+D41+D79</f>
        <v>44481022.86</v>
      </c>
      <c r="E14" s="33">
        <f>E15+E23+E45+E56+E67+E75+E41+E79</f>
        <v>47762612.51</v>
      </c>
      <c r="F14" s="33">
        <f>E14/D14*100</f>
        <v>107.37750492008358</v>
      </c>
    </row>
    <row r="15" spans="1:6" s="15" customFormat="1" ht="18.75">
      <c r="A15" s="31" t="s">
        <v>55</v>
      </c>
      <c r="B15" s="34" t="s">
        <v>63</v>
      </c>
      <c r="C15" s="56">
        <f>C16</f>
        <v>34356058.91</v>
      </c>
      <c r="D15" s="33">
        <f>D16</f>
        <v>35116622.61</v>
      </c>
      <c r="E15" s="33">
        <f>E16</f>
        <v>38225435.800000004</v>
      </c>
      <c r="F15" s="33">
        <f aca="true" t="shared" si="0" ref="F15:F82">E15/D15*100</f>
        <v>108.85282512651067</v>
      </c>
    </row>
    <row r="16" spans="1:6" ht="18.75">
      <c r="A16" s="30" t="s">
        <v>37</v>
      </c>
      <c r="B16" s="35" t="s">
        <v>64</v>
      </c>
      <c r="C16" s="57">
        <f>C17+C19+C21</f>
        <v>34356058.91</v>
      </c>
      <c r="D16" s="36">
        <f>D17+D19+D21</f>
        <v>35116622.61</v>
      </c>
      <c r="E16" s="36">
        <f>E17+E19+E21</f>
        <v>38225435.800000004</v>
      </c>
      <c r="F16" s="36">
        <f t="shared" si="0"/>
        <v>108.85282512651067</v>
      </c>
    </row>
    <row r="17" spans="1:6" ht="150">
      <c r="A17" s="30" t="s">
        <v>19</v>
      </c>
      <c r="B17" s="35" t="s">
        <v>65</v>
      </c>
      <c r="C17" s="58">
        <f>C18</f>
        <v>34061058.91</v>
      </c>
      <c r="D17" s="37">
        <f>D18</f>
        <v>34527090.57</v>
      </c>
      <c r="E17" s="37">
        <f>E18</f>
        <v>37670235.1</v>
      </c>
      <c r="F17" s="36">
        <f t="shared" si="0"/>
        <v>109.10341554446244</v>
      </c>
    </row>
    <row r="18" spans="1:6" ht="150">
      <c r="A18" s="30" t="s">
        <v>38</v>
      </c>
      <c r="B18" s="35" t="s">
        <v>65</v>
      </c>
      <c r="C18" s="57">
        <f>34061058.91</f>
        <v>34061058.91</v>
      </c>
      <c r="D18" s="37">
        <f>34061058.91-243522.04-20000+630657+98896.7</f>
        <v>34527090.57</v>
      </c>
      <c r="E18" s="38">
        <f>37670235.1</f>
        <v>37670235.1</v>
      </c>
      <c r="F18" s="36">
        <f t="shared" si="0"/>
        <v>109.10341554446244</v>
      </c>
    </row>
    <row r="19" spans="1:6" ht="206.25" customHeight="1">
      <c r="A19" s="30" t="s">
        <v>20</v>
      </c>
      <c r="B19" s="35" t="s">
        <v>25</v>
      </c>
      <c r="C19" s="58">
        <f>C20</f>
        <v>210000</v>
      </c>
      <c r="D19" s="37">
        <f>D20</f>
        <v>220000</v>
      </c>
      <c r="E19" s="37">
        <f>E20</f>
        <v>191062.53</v>
      </c>
      <c r="F19" s="36">
        <f t="shared" si="0"/>
        <v>86.84660454545454</v>
      </c>
    </row>
    <row r="20" spans="1:6" ht="205.5" customHeight="1">
      <c r="A20" s="30" t="s">
        <v>10</v>
      </c>
      <c r="B20" s="35" t="s">
        <v>25</v>
      </c>
      <c r="C20" s="57">
        <f>210000</f>
        <v>210000</v>
      </c>
      <c r="D20" s="39">
        <f>210000+20000-10000</f>
        <v>220000</v>
      </c>
      <c r="E20" s="38">
        <f>191062.53</f>
        <v>191062.53</v>
      </c>
      <c r="F20" s="36">
        <f t="shared" si="0"/>
        <v>86.84660454545454</v>
      </c>
    </row>
    <row r="21" spans="1:6" ht="93.75">
      <c r="A21" s="30" t="s">
        <v>56</v>
      </c>
      <c r="B21" s="35" t="s">
        <v>26</v>
      </c>
      <c r="C21" s="59">
        <f>C22</f>
        <v>85000</v>
      </c>
      <c r="D21" s="39">
        <f>D22</f>
        <v>369532.04000000004</v>
      </c>
      <c r="E21" s="39">
        <f>E22</f>
        <v>364138.17</v>
      </c>
      <c r="F21" s="36">
        <f t="shared" si="0"/>
        <v>98.54035119661071</v>
      </c>
    </row>
    <row r="22" spans="1:6" ht="93.75">
      <c r="A22" s="30" t="s">
        <v>57</v>
      </c>
      <c r="B22" s="35" t="s">
        <v>26</v>
      </c>
      <c r="C22" s="57">
        <f>85000</f>
        <v>85000</v>
      </c>
      <c r="D22" s="40">
        <f>85000+243522.04+10010+20000+1000+10000</f>
        <v>369532.04000000004</v>
      </c>
      <c r="E22" s="38">
        <f>364138.17</f>
        <v>364138.17</v>
      </c>
      <c r="F22" s="36">
        <f t="shared" si="0"/>
        <v>98.54035119661071</v>
      </c>
    </row>
    <row r="23" spans="1:6" s="15" customFormat="1" ht="75">
      <c r="A23" s="31" t="s">
        <v>58</v>
      </c>
      <c r="B23" s="34" t="s">
        <v>18</v>
      </c>
      <c r="C23" s="60">
        <f>C24</f>
        <v>1728786.46</v>
      </c>
      <c r="D23" s="41">
        <f>D24</f>
        <v>2033386.46</v>
      </c>
      <c r="E23" s="41">
        <f>E24</f>
        <v>2177771.79</v>
      </c>
      <c r="F23" s="33">
        <f t="shared" si="0"/>
        <v>107.10073234184907</v>
      </c>
    </row>
    <row r="24" spans="1:6" ht="56.25">
      <c r="A24" s="30" t="s">
        <v>16</v>
      </c>
      <c r="B24" s="35" t="s">
        <v>27</v>
      </c>
      <c r="C24" s="61">
        <f>C25+C29+C34+C37</f>
        <v>1728786.46</v>
      </c>
      <c r="D24" s="40">
        <f>D25+D29+D33+D37</f>
        <v>2033386.46</v>
      </c>
      <c r="E24" s="40">
        <f>E25+E29+E33+E37</f>
        <v>2177771.79</v>
      </c>
      <c r="F24" s="36">
        <f t="shared" si="0"/>
        <v>107.10073234184907</v>
      </c>
    </row>
    <row r="25" spans="1:6" ht="132.75" customHeight="1">
      <c r="A25" s="30" t="s">
        <v>23</v>
      </c>
      <c r="B25" s="35" t="s">
        <v>121</v>
      </c>
      <c r="C25" s="61">
        <f>C26</f>
        <v>595740.76</v>
      </c>
      <c r="D25" s="40">
        <f>D28</f>
        <v>945740.76</v>
      </c>
      <c r="E25" s="40">
        <f>E28</f>
        <v>991285.04</v>
      </c>
      <c r="F25" s="36">
        <f t="shared" si="0"/>
        <v>104.81572561174164</v>
      </c>
    </row>
    <row r="26" spans="1:6" ht="132.75" customHeight="1">
      <c r="A26" s="30" t="s">
        <v>196</v>
      </c>
      <c r="B26" s="35" t="s">
        <v>121</v>
      </c>
      <c r="C26" s="61">
        <f>595740.76</f>
        <v>595740.76</v>
      </c>
      <c r="D26" s="40">
        <f>0</f>
        <v>0</v>
      </c>
      <c r="E26" s="40">
        <f>0</f>
        <v>0</v>
      </c>
      <c r="F26" s="36">
        <f>0</f>
        <v>0</v>
      </c>
    </row>
    <row r="27" spans="1:6" ht="224.25" customHeight="1">
      <c r="A27" s="30" t="s">
        <v>205</v>
      </c>
      <c r="B27" s="42" t="s">
        <v>120</v>
      </c>
      <c r="C27" s="57">
        <f>0</f>
        <v>0</v>
      </c>
      <c r="D27" s="40">
        <f>D28</f>
        <v>945740.76</v>
      </c>
      <c r="E27" s="40">
        <f>E28</f>
        <v>991285.04</v>
      </c>
      <c r="F27" s="36">
        <f t="shared" si="0"/>
        <v>104.81572561174164</v>
      </c>
    </row>
    <row r="28" spans="1:6" s="15" customFormat="1" ht="224.25" customHeight="1">
      <c r="A28" s="28" t="s">
        <v>197</v>
      </c>
      <c r="B28" s="42" t="s">
        <v>120</v>
      </c>
      <c r="C28" s="57">
        <f>0</f>
        <v>0</v>
      </c>
      <c r="D28" s="40">
        <f>595740.76+100000+250000</f>
        <v>945740.76</v>
      </c>
      <c r="E28" s="38">
        <f>991285.04</f>
        <v>991285.04</v>
      </c>
      <c r="F28" s="36">
        <f t="shared" si="0"/>
        <v>104.81572561174164</v>
      </c>
    </row>
    <row r="29" spans="1:6" ht="168" customHeight="1">
      <c r="A29" s="30" t="s">
        <v>22</v>
      </c>
      <c r="B29" s="35" t="s">
        <v>123</v>
      </c>
      <c r="C29" s="57">
        <f>C30</f>
        <v>5125.13</v>
      </c>
      <c r="D29" s="40">
        <f>D32</f>
        <v>6725.13</v>
      </c>
      <c r="E29" s="40">
        <f>E32</f>
        <v>7286.2</v>
      </c>
      <c r="F29" s="36">
        <f t="shared" si="0"/>
        <v>108.34288705199751</v>
      </c>
    </row>
    <row r="30" spans="1:6" ht="168" customHeight="1">
      <c r="A30" s="30" t="s">
        <v>201</v>
      </c>
      <c r="B30" s="35" t="s">
        <v>123</v>
      </c>
      <c r="C30" s="57">
        <f>5125.13</f>
        <v>5125.13</v>
      </c>
      <c r="D30" s="40">
        <f>0</f>
        <v>0</v>
      </c>
      <c r="E30" s="40">
        <f>0</f>
        <v>0</v>
      </c>
      <c r="F30" s="36">
        <f>0</f>
        <v>0</v>
      </c>
    </row>
    <row r="31" spans="1:6" ht="261.75" customHeight="1">
      <c r="A31" s="30" t="s">
        <v>206</v>
      </c>
      <c r="B31" s="42" t="s">
        <v>122</v>
      </c>
      <c r="C31" s="57">
        <f>0</f>
        <v>0</v>
      </c>
      <c r="D31" s="40">
        <f>D32</f>
        <v>6725.13</v>
      </c>
      <c r="E31" s="40">
        <f>E32</f>
        <v>7286.2</v>
      </c>
      <c r="F31" s="36">
        <f t="shared" si="0"/>
        <v>108.34288705199751</v>
      </c>
    </row>
    <row r="32" spans="1:6" ht="261.75" customHeight="1">
      <c r="A32" s="30" t="s">
        <v>198</v>
      </c>
      <c r="B32" s="42" t="s">
        <v>122</v>
      </c>
      <c r="C32" s="57">
        <f>0</f>
        <v>0</v>
      </c>
      <c r="D32" s="40">
        <f>5125.13+1000+600</f>
        <v>6725.13</v>
      </c>
      <c r="E32" s="38">
        <f>7286.2</f>
        <v>7286.2</v>
      </c>
      <c r="F32" s="36">
        <f t="shared" si="0"/>
        <v>108.34288705199751</v>
      </c>
    </row>
    <row r="33" spans="1:6" ht="148.5" customHeight="1">
      <c r="A33" s="30" t="s">
        <v>21</v>
      </c>
      <c r="B33" s="35" t="s">
        <v>125</v>
      </c>
      <c r="C33" s="57">
        <f>0</f>
        <v>0</v>
      </c>
      <c r="D33" s="40">
        <f>D35</f>
        <v>1225171.3</v>
      </c>
      <c r="E33" s="40">
        <f>E35</f>
        <v>1324360.18</v>
      </c>
      <c r="F33" s="36">
        <f t="shared" si="0"/>
        <v>108.09591932164912</v>
      </c>
    </row>
    <row r="34" spans="1:6" ht="148.5" customHeight="1">
      <c r="A34" s="30" t="s">
        <v>202</v>
      </c>
      <c r="B34" s="35" t="s">
        <v>125</v>
      </c>
      <c r="C34" s="57">
        <f>1242171.3</f>
        <v>1242171.3</v>
      </c>
      <c r="D34" s="40">
        <f>0</f>
        <v>0</v>
      </c>
      <c r="E34" s="40">
        <f>0</f>
        <v>0</v>
      </c>
      <c r="F34" s="36">
        <f>0</f>
        <v>0</v>
      </c>
    </row>
    <row r="35" spans="1:6" ht="225" customHeight="1">
      <c r="A35" s="30" t="s">
        <v>207</v>
      </c>
      <c r="B35" s="42" t="s">
        <v>124</v>
      </c>
      <c r="C35" s="57">
        <f>0</f>
        <v>0</v>
      </c>
      <c r="D35" s="40">
        <f>D36</f>
        <v>1225171.3</v>
      </c>
      <c r="E35" s="40">
        <f>E36</f>
        <v>1324360.18</v>
      </c>
      <c r="F35" s="36">
        <f t="shared" si="0"/>
        <v>108.09591932164912</v>
      </c>
    </row>
    <row r="36" spans="1:6" ht="224.25" customHeight="1">
      <c r="A36" s="28" t="s">
        <v>199</v>
      </c>
      <c r="B36" s="42" t="s">
        <v>124</v>
      </c>
      <c r="C36" s="57">
        <f>0</f>
        <v>0</v>
      </c>
      <c r="D36" s="40">
        <f>1242171.3-101000+84000</f>
        <v>1225171.3</v>
      </c>
      <c r="E36" s="38">
        <f>1324360.18</f>
        <v>1324360.18</v>
      </c>
      <c r="F36" s="36">
        <f t="shared" si="0"/>
        <v>108.09591932164912</v>
      </c>
    </row>
    <row r="37" spans="1:6" ht="148.5" customHeight="1">
      <c r="A37" s="30" t="s">
        <v>39</v>
      </c>
      <c r="B37" s="35" t="s">
        <v>127</v>
      </c>
      <c r="C37" s="57">
        <f>C38</f>
        <v>-114250.73</v>
      </c>
      <c r="D37" s="40">
        <f>D39</f>
        <v>-144250.72999999998</v>
      </c>
      <c r="E37" s="40">
        <f>E39</f>
        <v>-145159.63</v>
      </c>
      <c r="F37" s="36">
        <f t="shared" si="0"/>
        <v>100.63008346647537</v>
      </c>
    </row>
    <row r="38" spans="1:6" ht="148.5" customHeight="1">
      <c r="A38" s="30" t="s">
        <v>203</v>
      </c>
      <c r="B38" s="35" t="s">
        <v>127</v>
      </c>
      <c r="C38" s="57">
        <f>-114250.73</f>
        <v>-114250.73</v>
      </c>
      <c r="D38" s="40">
        <f>0</f>
        <v>0</v>
      </c>
      <c r="E38" s="40">
        <f>0</f>
        <v>0</v>
      </c>
      <c r="F38" s="36">
        <f>0</f>
        <v>0</v>
      </c>
    </row>
    <row r="39" spans="1:6" ht="226.5" customHeight="1">
      <c r="A39" s="30" t="s">
        <v>208</v>
      </c>
      <c r="B39" s="42" t="s">
        <v>126</v>
      </c>
      <c r="C39" s="57">
        <f>0</f>
        <v>0</v>
      </c>
      <c r="D39" s="40">
        <f>D40</f>
        <v>-144250.72999999998</v>
      </c>
      <c r="E39" s="40">
        <f>E40</f>
        <v>-145159.63</v>
      </c>
      <c r="F39" s="36">
        <f t="shared" si="0"/>
        <v>100.63008346647537</v>
      </c>
    </row>
    <row r="40" spans="1:6" ht="225.75" customHeight="1">
      <c r="A40" s="28" t="s">
        <v>200</v>
      </c>
      <c r="B40" s="42" t="s">
        <v>126</v>
      </c>
      <c r="C40" s="57">
        <f>0</f>
        <v>0</v>
      </c>
      <c r="D40" s="40">
        <f>-114250.73-30000</f>
        <v>-144250.72999999998</v>
      </c>
      <c r="E40" s="38">
        <f>-145159.63</f>
        <v>-145159.63</v>
      </c>
      <c r="F40" s="36">
        <f t="shared" si="0"/>
        <v>100.63008346647537</v>
      </c>
    </row>
    <row r="41" spans="1:6" s="15" customFormat="1" ht="38.25" customHeight="1">
      <c r="A41" s="34" t="s">
        <v>140</v>
      </c>
      <c r="B41" s="43" t="s">
        <v>141</v>
      </c>
      <c r="C41" s="41">
        <f aca="true" t="shared" si="1" ref="C41:E43">C42</f>
        <v>0</v>
      </c>
      <c r="D41" s="41">
        <f t="shared" si="1"/>
        <v>325</v>
      </c>
      <c r="E41" s="41">
        <f t="shared" si="1"/>
        <v>325</v>
      </c>
      <c r="F41" s="33">
        <f t="shared" si="0"/>
        <v>100</v>
      </c>
    </row>
    <row r="42" spans="1:6" ht="19.5" customHeight="1">
      <c r="A42" s="28" t="s">
        <v>142</v>
      </c>
      <c r="B42" s="42" t="s">
        <v>143</v>
      </c>
      <c r="C42" s="40">
        <f t="shared" si="1"/>
        <v>0</v>
      </c>
      <c r="D42" s="40">
        <f t="shared" si="1"/>
        <v>325</v>
      </c>
      <c r="E42" s="40">
        <f t="shared" si="1"/>
        <v>325</v>
      </c>
      <c r="F42" s="36">
        <f t="shared" si="0"/>
        <v>100</v>
      </c>
    </row>
    <row r="43" spans="1:6" ht="18.75" customHeight="1">
      <c r="A43" s="28" t="s">
        <v>144</v>
      </c>
      <c r="B43" s="42" t="s">
        <v>143</v>
      </c>
      <c r="C43" s="40">
        <f t="shared" si="1"/>
        <v>0</v>
      </c>
      <c r="D43" s="40">
        <f t="shared" si="1"/>
        <v>325</v>
      </c>
      <c r="E43" s="40">
        <f t="shared" si="1"/>
        <v>325</v>
      </c>
      <c r="F43" s="36">
        <f t="shared" si="0"/>
        <v>100</v>
      </c>
    </row>
    <row r="44" spans="1:6" ht="22.5" customHeight="1">
      <c r="A44" s="28" t="s">
        <v>145</v>
      </c>
      <c r="B44" s="42" t="s">
        <v>143</v>
      </c>
      <c r="C44" s="57">
        <f>0</f>
        <v>0</v>
      </c>
      <c r="D44" s="40">
        <f>325</f>
        <v>325</v>
      </c>
      <c r="E44" s="38">
        <f>325</f>
        <v>325</v>
      </c>
      <c r="F44" s="36">
        <f t="shared" si="0"/>
        <v>100</v>
      </c>
    </row>
    <row r="45" spans="1:6" s="15" customFormat="1" ht="18.75">
      <c r="A45" s="31" t="s">
        <v>40</v>
      </c>
      <c r="B45" s="34" t="s">
        <v>28</v>
      </c>
      <c r="C45" s="33">
        <f>C46+C49</f>
        <v>4313040</v>
      </c>
      <c r="D45" s="33">
        <f>D46+D49</f>
        <v>3857806.0999999996</v>
      </c>
      <c r="E45" s="33">
        <f>E46+E49</f>
        <v>3670997.25</v>
      </c>
      <c r="F45" s="33">
        <f t="shared" si="0"/>
        <v>95.15764024531975</v>
      </c>
    </row>
    <row r="46" spans="1:6" ht="18.75">
      <c r="A46" s="30" t="s">
        <v>41</v>
      </c>
      <c r="B46" s="35" t="s">
        <v>29</v>
      </c>
      <c r="C46" s="36">
        <f aca="true" t="shared" si="2" ref="C46:E47">C47</f>
        <v>595000</v>
      </c>
      <c r="D46" s="36">
        <f t="shared" si="2"/>
        <v>945000</v>
      </c>
      <c r="E46" s="36">
        <f t="shared" si="2"/>
        <v>959838.41</v>
      </c>
      <c r="F46" s="36">
        <f t="shared" si="0"/>
        <v>101.57020211640213</v>
      </c>
    </row>
    <row r="47" spans="1:6" ht="93.75">
      <c r="A47" s="30" t="s">
        <v>42</v>
      </c>
      <c r="B47" s="35" t="s">
        <v>30</v>
      </c>
      <c r="C47" s="36">
        <f t="shared" si="2"/>
        <v>595000</v>
      </c>
      <c r="D47" s="36">
        <f t="shared" si="2"/>
        <v>945000</v>
      </c>
      <c r="E47" s="36">
        <f t="shared" si="2"/>
        <v>959838.41</v>
      </c>
      <c r="F47" s="36">
        <f t="shared" si="0"/>
        <v>101.57020211640213</v>
      </c>
    </row>
    <row r="48" spans="1:6" ht="93.75">
      <c r="A48" s="30" t="s">
        <v>43</v>
      </c>
      <c r="B48" s="35" t="s">
        <v>30</v>
      </c>
      <c r="C48" s="57">
        <f>595000</f>
        <v>595000</v>
      </c>
      <c r="D48" s="40">
        <f>595000+350000</f>
        <v>945000</v>
      </c>
      <c r="E48" s="38">
        <f>959838.41</f>
        <v>959838.41</v>
      </c>
      <c r="F48" s="36">
        <f t="shared" si="0"/>
        <v>101.57020211640213</v>
      </c>
    </row>
    <row r="49" spans="1:6" ht="18.75">
      <c r="A49" s="30" t="s">
        <v>44</v>
      </c>
      <c r="B49" s="35" t="s">
        <v>31</v>
      </c>
      <c r="C49" s="36">
        <f>C50+C53</f>
        <v>3718040</v>
      </c>
      <c r="D49" s="36">
        <f>D50+D53</f>
        <v>2912806.0999999996</v>
      </c>
      <c r="E49" s="36">
        <f>E50+E53</f>
        <v>2711158.84</v>
      </c>
      <c r="F49" s="36">
        <f t="shared" si="0"/>
        <v>93.07721650267075</v>
      </c>
    </row>
    <row r="50" spans="1:6" ht="18.75">
      <c r="A50" s="30" t="s">
        <v>45</v>
      </c>
      <c r="B50" s="35" t="s">
        <v>32</v>
      </c>
      <c r="C50" s="36">
        <f aca="true" t="shared" si="3" ref="C50:E51">C51</f>
        <v>1700000</v>
      </c>
      <c r="D50" s="36">
        <f t="shared" si="3"/>
        <v>1350000</v>
      </c>
      <c r="E50" s="36">
        <f t="shared" si="3"/>
        <v>1181045.09</v>
      </c>
      <c r="F50" s="36">
        <f t="shared" si="0"/>
        <v>87.48482148148149</v>
      </c>
    </row>
    <row r="51" spans="1:6" ht="75">
      <c r="A51" s="30" t="s">
        <v>46</v>
      </c>
      <c r="B51" s="35" t="s">
        <v>33</v>
      </c>
      <c r="C51" s="36">
        <f t="shared" si="3"/>
        <v>1700000</v>
      </c>
      <c r="D51" s="36">
        <f t="shared" si="3"/>
        <v>1350000</v>
      </c>
      <c r="E51" s="36">
        <f t="shared" si="3"/>
        <v>1181045.09</v>
      </c>
      <c r="F51" s="36">
        <f t="shared" si="0"/>
        <v>87.48482148148149</v>
      </c>
    </row>
    <row r="52" spans="1:6" ht="75">
      <c r="A52" s="30" t="s">
        <v>47</v>
      </c>
      <c r="B52" s="35" t="s">
        <v>33</v>
      </c>
      <c r="C52" s="57">
        <f>1700000</f>
        <v>1700000</v>
      </c>
      <c r="D52" s="36">
        <f>1700000-350000</f>
        <v>1350000</v>
      </c>
      <c r="E52" s="38">
        <f>1181045.09</f>
        <v>1181045.09</v>
      </c>
      <c r="F52" s="36">
        <f t="shared" si="0"/>
        <v>87.48482148148149</v>
      </c>
    </row>
    <row r="53" spans="1:6" ht="18.75">
      <c r="A53" s="28" t="s">
        <v>53</v>
      </c>
      <c r="B53" s="35" t="s">
        <v>66</v>
      </c>
      <c r="C53" s="37">
        <f aca="true" t="shared" si="4" ref="C53:E54">C54</f>
        <v>2018040</v>
      </c>
      <c r="D53" s="37">
        <f t="shared" si="4"/>
        <v>1562806.0999999999</v>
      </c>
      <c r="E53" s="37">
        <f t="shared" si="4"/>
        <v>1530113.75</v>
      </c>
      <c r="F53" s="36">
        <f t="shared" si="0"/>
        <v>97.90809941169286</v>
      </c>
    </row>
    <row r="54" spans="1:6" ht="75">
      <c r="A54" s="30" t="s">
        <v>48</v>
      </c>
      <c r="B54" s="35" t="s">
        <v>34</v>
      </c>
      <c r="C54" s="37">
        <f t="shared" si="4"/>
        <v>2018040</v>
      </c>
      <c r="D54" s="37">
        <f t="shared" si="4"/>
        <v>1562806.0999999999</v>
      </c>
      <c r="E54" s="37">
        <f t="shared" si="4"/>
        <v>1530113.75</v>
      </c>
      <c r="F54" s="36">
        <f t="shared" si="0"/>
        <v>97.90809941169286</v>
      </c>
    </row>
    <row r="55" spans="1:6" ht="75">
      <c r="A55" s="30" t="s">
        <v>49</v>
      </c>
      <c r="B55" s="35" t="s">
        <v>34</v>
      </c>
      <c r="C55" s="57">
        <f>2018040</f>
        <v>2018040</v>
      </c>
      <c r="D55" s="37">
        <f>2018040-21492.54-325-5586.36-327830-100000</f>
        <v>1562806.0999999999</v>
      </c>
      <c r="E55" s="38">
        <f>1530113.75</f>
        <v>1530113.75</v>
      </c>
      <c r="F55" s="36">
        <f t="shared" si="0"/>
        <v>97.90809941169286</v>
      </c>
    </row>
    <row r="56" spans="1:6" s="15" customFormat="1" ht="93.75">
      <c r="A56" s="31" t="s">
        <v>11</v>
      </c>
      <c r="B56" s="34" t="s">
        <v>67</v>
      </c>
      <c r="C56" s="41">
        <f>C57</f>
        <v>1290000</v>
      </c>
      <c r="D56" s="41">
        <f>D57</f>
        <v>3076473.67</v>
      </c>
      <c r="E56" s="41">
        <f>E57</f>
        <v>3295899.73</v>
      </c>
      <c r="F56" s="33">
        <f t="shared" si="0"/>
        <v>107.13238868707758</v>
      </c>
    </row>
    <row r="57" spans="1:6" ht="170.25" customHeight="1">
      <c r="A57" s="30" t="s">
        <v>12</v>
      </c>
      <c r="B57" s="35" t="s">
        <v>80</v>
      </c>
      <c r="C57" s="40">
        <f>C58+C61+C64</f>
        <v>1290000</v>
      </c>
      <c r="D57" s="40">
        <f>D58+D61+D64</f>
        <v>3076473.67</v>
      </c>
      <c r="E57" s="40">
        <f>E58+E61+E64</f>
        <v>3295899.73</v>
      </c>
      <c r="F57" s="36">
        <f t="shared" si="0"/>
        <v>107.13238868707758</v>
      </c>
    </row>
    <row r="58" spans="1:6" ht="131.25">
      <c r="A58" s="30" t="s">
        <v>14</v>
      </c>
      <c r="B58" s="35" t="s">
        <v>8</v>
      </c>
      <c r="C58" s="40">
        <f aca="true" t="shared" si="5" ref="C58:E59">C59</f>
        <v>700000</v>
      </c>
      <c r="D58" s="40">
        <f t="shared" si="5"/>
        <v>1327388.58</v>
      </c>
      <c r="E58" s="40">
        <f t="shared" si="5"/>
        <v>1539770.54</v>
      </c>
      <c r="F58" s="36">
        <f t="shared" si="0"/>
        <v>115.9999839685226</v>
      </c>
    </row>
    <row r="59" spans="1:6" ht="152.25" customHeight="1">
      <c r="A59" s="30" t="s">
        <v>51</v>
      </c>
      <c r="B59" s="35" t="s">
        <v>68</v>
      </c>
      <c r="C59" s="36">
        <f t="shared" si="5"/>
        <v>700000</v>
      </c>
      <c r="D59" s="36">
        <f t="shared" si="5"/>
        <v>1327388.58</v>
      </c>
      <c r="E59" s="36">
        <f t="shared" si="5"/>
        <v>1539770.54</v>
      </c>
      <c r="F59" s="36">
        <f t="shared" si="0"/>
        <v>115.9999839685226</v>
      </c>
    </row>
    <row r="60" spans="1:6" ht="151.5" customHeight="1">
      <c r="A60" s="30" t="s">
        <v>82</v>
      </c>
      <c r="B60" s="35" t="s">
        <v>69</v>
      </c>
      <c r="C60" s="62">
        <f>700000</f>
        <v>700000</v>
      </c>
      <c r="D60" s="37">
        <f>700000-32284.6-750.82+250000+410424</f>
        <v>1327388.58</v>
      </c>
      <c r="E60" s="38">
        <f>1539770.54</f>
        <v>1539770.54</v>
      </c>
      <c r="F60" s="36">
        <f t="shared" si="0"/>
        <v>115.9999839685226</v>
      </c>
    </row>
    <row r="61" spans="1:6" ht="152.25" customHeight="1">
      <c r="A61" s="44" t="s">
        <v>54</v>
      </c>
      <c r="B61" s="35" t="s">
        <v>70</v>
      </c>
      <c r="C61" s="40">
        <f>C62</f>
        <v>90000</v>
      </c>
      <c r="D61" s="40">
        <f>D62</f>
        <v>255635.42</v>
      </c>
      <c r="E61" s="40">
        <f>E62</f>
        <v>298564.2</v>
      </c>
      <c r="F61" s="36">
        <f t="shared" si="0"/>
        <v>116.79297023863124</v>
      </c>
    </row>
    <row r="62" spans="1:6" ht="150">
      <c r="A62" s="30" t="s">
        <v>50</v>
      </c>
      <c r="B62" s="35" t="s">
        <v>71</v>
      </c>
      <c r="C62" s="40">
        <f>SUM(C63:C63)</f>
        <v>90000</v>
      </c>
      <c r="D62" s="40">
        <f>SUM(D63:D63)</f>
        <v>255635.42</v>
      </c>
      <c r="E62" s="40">
        <f>SUM(E63:E63)</f>
        <v>298564.2</v>
      </c>
      <c r="F62" s="36">
        <f t="shared" si="0"/>
        <v>116.79297023863124</v>
      </c>
    </row>
    <row r="63" spans="1:6" ht="150">
      <c r="A63" s="30" t="s">
        <v>85</v>
      </c>
      <c r="B63" s="35" t="s">
        <v>72</v>
      </c>
      <c r="C63" s="57">
        <f>90000</f>
        <v>90000</v>
      </c>
      <c r="D63" s="40">
        <f>90000+32284.6+34000+750.82+73000+25600</f>
        <v>255635.42</v>
      </c>
      <c r="E63" s="40">
        <f>298564.2</f>
        <v>298564.2</v>
      </c>
      <c r="F63" s="36">
        <f t="shared" si="0"/>
        <v>116.79297023863124</v>
      </c>
    </row>
    <row r="64" spans="1:6" ht="168.75">
      <c r="A64" s="30" t="s">
        <v>15</v>
      </c>
      <c r="B64" s="35" t="s">
        <v>73</v>
      </c>
      <c r="C64" s="40">
        <f>C65</f>
        <v>500000</v>
      </c>
      <c r="D64" s="40">
        <f>D65</f>
        <v>1493449.67</v>
      </c>
      <c r="E64" s="40">
        <f>E65</f>
        <v>1457564.99</v>
      </c>
      <c r="F64" s="36">
        <f t="shared" si="0"/>
        <v>97.59719522386048</v>
      </c>
    </row>
    <row r="65" spans="1:6" ht="132" customHeight="1">
      <c r="A65" s="30" t="s">
        <v>52</v>
      </c>
      <c r="B65" s="35" t="s">
        <v>74</v>
      </c>
      <c r="C65" s="40">
        <f>SUM(C66:C66)</f>
        <v>500000</v>
      </c>
      <c r="D65" s="40">
        <f>SUM(D66:D66)</f>
        <v>1493449.67</v>
      </c>
      <c r="E65" s="40">
        <f>SUM(E66:E66)</f>
        <v>1457564.99</v>
      </c>
      <c r="F65" s="36">
        <f t="shared" si="0"/>
        <v>97.59719522386048</v>
      </c>
    </row>
    <row r="66" spans="1:6" ht="132.75" customHeight="1">
      <c r="A66" s="30" t="s">
        <v>86</v>
      </c>
      <c r="B66" s="35" t="s">
        <v>75</v>
      </c>
      <c r="C66" s="57">
        <f>500000</f>
        <v>500000</v>
      </c>
      <c r="D66" s="40">
        <f>500000+166873.56+59464.7+199889+335169.45+98000+134052.96</f>
        <v>1493449.67</v>
      </c>
      <c r="E66" s="40">
        <f>1457564.99</f>
        <v>1457564.99</v>
      </c>
      <c r="F66" s="36">
        <f t="shared" si="0"/>
        <v>97.59719522386048</v>
      </c>
    </row>
    <row r="67" spans="1:6" s="15" customFormat="1" ht="56.25">
      <c r="A67" s="31" t="s">
        <v>59</v>
      </c>
      <c r="B67" s="32" t="s">
        <v>76</v>
      </c>
      <c r="C67" s="41">
        <f>C68</f>
        <v>100000</v>
      </c>
      <c r="D67" s="41">
        <f>D68</f>
        <v>361986.79000000004</v>
      </c>
      <c r="E67" s="41">
        <f>E68</f>
        <v>357760.71</v>
      </c>
      <c r="F67" s="33">
        <f t="shared" si="0"/>
        <v>98.83253198272787</v>
      </c>
    </row>
    <row r="68" spans="1:6" s="15" customFormat="1" ht="75">
      <c r="A68" s="30" t="s">
        <v>60</v>
      </c>
      <c r="B68" s="35" t="s">
        <v>77</v>
      </c>
      <c r="C68" s="40">
        <f>C69+C72</f>
        <v>100000</v>
      </c>
      <c r="D68" s="40">
        <f>D69+D72</f>
        <v>361986.79000000004</v>
      </c>
      <c r="E68" s="40">
        <f>E69+E72</f>
        <v>357760.71</v>
      </c>
      <c r="F68" s="36">
        <f t="shared" si="0"/>
        <v>98.83253198272787</v>
      </c>
    </row>
    <row r="69" spans="1:6" ht="75">
      <c r="A69" s="30" t="s">
        <v>61</v>
      </c>
      <c r="B69" s="45" t="s">
        <v>78</v>
      </c>
      <c r="C69" s="40">
        <f aca="true" t="shared" si="6" ref="C69:E70">C70</f>
        <v>100000</v>
      </c>
      <c r="D69" s="40">
        <f t="shared" si="6"/>
        <v>127000</v>
      </c>
      <c r="E69" s="40">
        <f t="shared" si="6"/>
        <v>122773.92</v>
      </c>
      <c r="F69" s="36">
        <f t="shared" si="0"/>
        <v>96.67237795275591</v>
      </c>
    </row>
    <row r="70" spans="1:6" ht="93.75">
      <c r="A70" s="30" t="s">
        <v>62</v>
      </c>
      <c r="B70" s="35" t="s">
        <v>81</v>
      </c>
      <c r="C70" s="40">
        <f t="shared" si="6"/>
        <v>100000</v>
      </c>
      <c r="D70" s="40">
        <f t="shared" si="6"/>
        <v>127000</v>
      </c>
      <c r="E70" s="40">
        <f t="shared" si="6"/>
        <v>122773.92</v>
      </c>
      <c r="F70" s="36">
        <f t="shared" si="0"/>
        <v>96.67237795275591</v>
      </c>
    </row>
    <row r="71" spans="1:6" ht="93.75">
      <c r="A71" s="30" t="s">
        <v>83</v>
      </c>
      <c r="B71" s="35" t="s">
        <v>79</v>
      </c>
      <c r="C71" s="62">
        <f>100000</f>
        <v>100000</v>
      </c>
      <c r="D71" s="46">
        <f>100000+28000-1000</f>
        <v>127000</v>
      </c>
      <c r="E71" s="38">
        <f>122773.92</f>
        <v>122773.92</v>
      </c>
      <c r="F71" s="36">
        <f t="shared" si="0"/>
        <v>96.67237795275591</v>
      </c>
    </row>
    <row r="72" spans="1:6" ht="94.5" customHeight="1">
      <c r="A72" s="47" t="s">
        <v>175</v>
      </c>
      <c r="B72" s="35" t="s">
        <v>176</v>
      </c>
      <c r="C72" s="40">
        <f aca="true" t="shared" si="7" ref="C72:E73">C73</f>
        <v>0</v>
      </c>
      <c r="D72" s="40">
        <f t="shared" si="7"/>
        <v>234986.79</v>
      </c>
      <c r="E72" s="40">
        <f t="shared" si="7"/>
        <v>234986.79</v>
      </c>
      <c r="F72" s="36">
        <f t="shared" si="0"/>
        <v>100</v>
      </c>
    </row>
    <row r="73" spans="1:6" ht="96" customHeight="1">
      <c r="A73" s="47" t="s">
        <v>177</v>
      </c>
      <c r="B73" s="35" t="s">
        <v>178</v>
      </c>
      <c r="C73" s="40">
        <f t="shared" si="7"/>
        <v>0</v>
      </c>
      <c r="D73" s="40">
        <f t="shared" si="7"/>
        <v>234986.79</v>
      </c>
      <c r="E73" s="40">
        <f t="shared" si="7"/>
        <v>234986.79</v>
      </c>
      <c r="F73" s="36">
        <f t="shared" si="0"/>
        <v>100</v>
      </c>
    </row>
    <row r="74" spans="1:6" ht="97.5" customHeight="1">
      <c r="A74" s="47" t="s">
        <v>179</v>
      </c>
      <c r="B74" s="35" t="s">
        <v>178</v>
      </c>
      <c r="C74" s="57">
        <f>0</f>
        <v>0</v>
      </c>
      <c r="D74" s="40">
        <v>234986.79</v>
      </c>
      <c r="E74" s="38">
        <f>234986.79</f>
        <v>234986.79</v>
      </c>
      <c r="F74" s="36">
        <f t="shared" si="0"/>
        <v>100</v>
      </c>
    </row>
    <row r="75" spans="1:6" s="15" customFormat="1" ht="37.5">
      <c r="A75" s="48" t="s">
        <v>128</v>
      </c>
      <c r="B75" s="49" t="s">
        <v>129</v>
      </c>
      <c r="C75" s="41">
        <f aca="true" t="shared" si="8" ref="C75:E77">C76</f>
        <v>0</v>
      </c>
      <c r="D75" s="41">
        <f t="shared" si="8"/>
        <v>24005.870000000003</v>
      </c>
      <c r="E75" s="41">
        <f t="shared" si="8"/>
        <v>24005.87</v>
      </c>
      <c r="F75" s="33">
        <f t="shared" si="0"/>
        <v>99.99999999999999</v>
      </c>
    </row>
    <row r="76" spans="1:6" ht="56.25">
      <c r="A76" s="30" t="s">
        <v>130</v>
      </c>
      <c r="B76" s="50" t="s">
        <v>131</v>
      </c>
      <c r="C76" s="40">
        <f t="shared" si="8"/>
        <v>0</v>
      </c>
      <c r="D76" s="40">
        <f t="shared" si="8"/>
        <v>24005.870000000003</v>
      </c>
      <c r="E76" s="40">
        <f t="shared" si="8"/>
        <v>24005.87</v>
      </c>
      <c r="F76" s="36">
        <f t="shared" si="0"/>
        <v>99.99999999999999</v>
      </c>
    </row>
    <row r="77" spans="1:6" ht="75">
      <c r="A77" s="30" t="s">
        <v>132</v>
      </c>
      <c r="B77" s="50" t="s">
        <v>133</v>
      </c>
      <c r="C77" s="40">
        <f t="shared" si="8"/>
        <v>0</v>
      </c>
      <c r="D77" s="40">
        <f t="shared" si="8"/>
        <v>24005.870000000003</v>
      </c>
      <c r="E77" s="40">
        <f t="shared" si="8"/>
        <v>24005.87</v>
      </c>
      <c r="F77" s="36">
        <f t="shared" si="0"/>
        <v>99.99999999999999</v>
      </c>
    </row>
    <row r="78" spans="1:6" ht="75">
      <c r="A78" s="30" t="s">
        <v>134</v>
      </c>
      <c r="B78" s="50" t="s">
        <v>133</v>
      </c>
      <c r="C78" s="57">
        <f>0</f>
        <v>0</v>
      </c>
      <c r="D78" s="40">
        <f>21492.54+1000+1513.33</f>
        <v>24005.870000000003</v>
      </c>
      <c r="E78" s="38">
        <f>24005.87</f>
        <v>24005.87</v>
      </c>
      <c r="F78" s="36">
        <f t="shared" si="0"/>
        <v>99.99999999999999</v>
      </c>
    </row>
    <row r="79" spans="1:6" s="15" customFormat="1" ht="37.5">
      <c r="A79" s="31" t="s">
        <v>151</v>
      </c>
      <c r="B79" s="51" t="s">
        <v>152</v>
      </c>
      <c r="C79" s="41">
        <f aca="true" t="shared" si="9" ref="C79:E80">C80</f>
        <v>0</v>
      </c>
      <c r="D79" s="41">
        <f t="shared" si="9"/>
        <v>10416.36</v>
      </c>
      <c r="E79" s="41">
        <f t="shared" si="9"/>
        <v>10416.36</v>
      </c>
      <c r="F79" s="33">
        <f t="shared" si="0"/>
        <v>100</v>
      </c>
    </row>
    <row r="80" spans="1:6" ht="18.75">
      <c r="A80" s="4" t="s">
        <v>149</v>
      </c>
      <c r="B80" s="25" t="s">
        <v>150</v>
      </c>
      <c r="C80" s="14">
        <f t="shared" si="9"/>
        <v>0</v>
      </c>
      <c r="D80" s="14">
        <f t="shared" si="9"/>
        <v>10416.36</v>
      </c>
      <c r="E80" s="14">
        <f t="shared" si="9"/>
        <v>10416.36</v>
      </c>
      <c r="F80" s="36">
        <f t="shared" si="0"/>
        <v>100</v>
      </c>
    </row>
    <row r="81" spans="1:6" ht="37.5">
      <c r="A81" s="4" t="s">
        <v>146</v>
      </c>
      <c r="B81" s="25" t="s">
        <v>147</v>
      </c>
      <c r="C81" s="14">
        <f>SUM(C82:C83)</f>
        <v>0</v>
      </c>
      <c r="D81" s="14">
        <f>SUM(D82:D83)</f>
        <v>10416.36</v>
      </c>
      <c r="E81" s="14">
        <f>SUM(E82:E83)</f>
        <v>10416.36</v>
      </c>
      <c r="F81" s="36">
        <f t="shared" si="0"/>
        <v>100</v>
      </c>
    </row>
    <row r="82" spans="1:6" ht="37.5">
      <c r="A82" s="4" t="s">
        <v>169</v>
      </c>
      <c r="B82" s="25" t="s">
        <v>147</v>
      </c>
      <c r="C82" s="55">
        <f>0</f>
        <v>0</v>
      </c>
      <c r="D82" s="14">
        <f>4830</f>
        <v>4830</v>
      </c>
      <c r="E82" s="14">
        <f>4830</f>
        <v>4830</v>
      </c>
      <c r="F82" s="36">
        <f t="shared" si="0"/>
        <v>100</v>
      </c>
    </row>
    <row r="83" spans="1:6" ht="37.5">
      <c r="A83" s="4" t="s">
        <v>148</v>
      </c>
      <c r="B83" s="25" t="s">
        <v>147</v>
      </c>
      <c r="C83" s="55">
        <f>0</f>
        <v>0</v>
      </c>
      <c r="D83" s="14">
        <f>5586.36</f>
        <v>5586.36</v>
      </c>
      <c r="E83" s="13">
        <f>5586.36</f>
        <v>5586.36</v>
      </c>
      <c r="F83" s="36">
        <f aca="true" t="shared" si="10" ref="F83:F121">E83/D83*100</f>
        <v>100</v>
      </c>
    </row>
    <row r="84" spans="1:6" s="54" customFormat="1" ht="26.25" customHeight="1">
      <c r="A84" s="19" t="s">
        <v>13</v>
      </c>
      <c r="B84" s="20" t="s">
        <v>87</v>
      </c>
      <c r="C84" s="21">
        <f>C85+C117+C113</f>
        <v>29265570</v>
      </c>
      <c r="D84" s="21">
        <f>D85+D117+D113</f>
        <v>104459719.1</v>
      </c>
      <c r="E84" s="21">
        <f>E85+E117+E113</f>
        <v>48609719.10000001</v>
      </c>
      <c r="F84" s="33">
        <f t="shared" si="10"/>
        <v>46.534414910177574</v>
      </c>
    </row>
    <row r="85" spans="1:6" s="15" customFormat="1" ht="75.75" customHeight="1">
      <c r="A85" s="2" t="s">
        <v>17</v>
      </c>
      <c r="B85" s="3" t="s">
        <v>88</v>
      </c>
      <c r="C85" s="16">
        <f>C86+C106+C93+C110</f>
        <v>29265570</v>
      </c>
      <c r="D85" s="16">
        <f>D86+D106+D93+D110</f>
        <v>104622611.63</v>
      </c>
      <c r="E85" s="16">
        <f>E86+E106+E93+E110</f>
        <v>48772611.63</v>
      </c>
      <c r="F85" s="33">
        <f t="shared" si="10"/>
        <v>46.61765833420919</v>
      </c>
    </row>
    <row r="86" spans="1:6" ht="37.5">
      <c r="A86" s="4" t="s">
        <v>94</v>
      </c>
      <c r="B86" s="7" t="s">
        <v>89</v>
      </c>
      <c r="C86" s="13">
        <f>C87+C90</f>
        <v>23646590</v>
      </c>
      <c r="D86" s="13">
        <f>D87+D90</f>
        <v>23704700</v>
      </c>
      <c r="E86" s="13">
        <f>E87+E90</f>
        <v>23704700</v>
      </c>
      <c r="F86" s="36">
        <f t="shared" si="10"/>
        <v>100</v>
      </c>
    </row>
    <row r="87" spans="1:6" ht="37.5">
      <c r="A87" s="4" t="s">
        <v>95</v>
      </c>
      <c r="B87" s="7" t="s">
        <v>35</v>
      </c>
      <c r="C87" s="13">
        <f aca="true" t="shared" si="11" ref="C87:E88">C88</f>
        <v>22060000</v>
      </c>
      <c r="D87" s="13">
        <f t="shared" si="11"/>
        <v>22060000</v>
      </c>
      <c r="E87" s="13">
        <f t="shared" si="11"/>
        <v>22060000</v>
      </c>
      <c r="F87" s="36">
        <f t="shared" si="10"/>
        <v>100</v>
      </c>
    </row>
    <row r="88" spans="1:6" ht="56.25">
      <c r="A88" s="4" t="s">
        <v>96</v>
      </c>
      <c r="B88" s="5" t="s">
        <v>36</v>
      </c>
      <c r="C88" s="12">
        <f t="shared" si="11"/>
        <v>22060000</v>
      </c>
      <c r="D88" s="12">
        <f t="shared" si="11"/>
        <v>22060000</v>
      </c>
      <c r="E88" s="12">
        <f t="shared" si="11"/>
        <v>22060000</v>
      </c>
      <c r="F88" s="36">
        <f t="shared" si="10"/>
        <v>100</v>
      </c>
    </row>
    <row r="89" spans="1:6" ht="56.25">
      <c r="A89" s="4" t="s">
        <v>97</v>
      </c>
      <c r="B89" s="5" t="s">
        <v>36</v>
      </c>
      <c r="C89" s="55">
        <f>22060000</f>
        <v>22060000</v>
      </c>
      <c r="D89" s="12">
        <f>22060000</f>
        <v>22060000</v>
      </c>
      <c r="E89" s="13">
        <f>22060000</f>
        <v>22060000</v>
      </c>
      <c r="F89" s="36">
        <f t="shared" si="10"/>
        <v>100</v>
      </c>
    </row>
    <row r="90" spans="1:6" ht="55.5" customHeight="1">
      <c r="A90" s="4" t="s">
        <v>98</v>
      </c>
      <c r="B90" s="5" t="s">
        <v>92</v>
      </c>
      <c r="C90" s="17">
        <f aca="true" t="shared" si="12" ref="C90:E91">C91</f>
        <v>1586590</v>
      </c>
      <c r="D90" s="17">
        <f t="shared" si="12"/>
        <v>1644700</v>
      </c>
      <c r="E90" s="17">
        <f t="shared" si="12"/>
        <v>1644700</v>
      </c>
      <c r="F90" s="36">
        <f t="shared" si="10"/>
        <v>100</v>
      </c>
    </row>
    <row r="91" spans="1:6" ht="74.25" customHeight="1">
      <c r="A91" s="4" t="s">
        <v>99</v>
      </c>
      <c r="B91" s="5" t="s">
        <v>93</v>
      </c>
      <c r="C91" s="17">
        <f t="shared" si="12"/>
        <v>1586590</v>
      </c>
      <c r="D91" s="17">
        <f t="shared" si="12"/>
        <v>1644700</v>
      </c>
      <c r="E91" s="17">
        <f t="shared" si="12"/>
        <v>1644700</v>
      </c>
      <c r="F91" s="36">
        <f t="shared" si="10"/>
        <v>100</v>
      </c>
    </row>
    <row r="92" spans="1:6" ht="74.25" customHeight="1">
      <c r="A92" s="4" t="s">
        <v>100</v>
      </c>
      <c r="B92" s="5" t="s">
        <v>93</v>
      </c>
      <c r="C92" s="63">
        <f>1586590</f>
        <v>1586590</v>
      </c>
      <c r="D92" s="17">
        <f>1586590+56800+1310</f>
        <v>1644700</v>
      </c>
      <c r="E92" s="22">
        <f>1644700</f>
        <v>1644700</v>
      </c>
      <c r="F92" s="36">
        <f t="shared" si="10"/>
        <v>100</v>
      </c>
    </row>
    <row r="93" spans="1:6" ht="57.75" customHeight="1">
      <c r="A93" s="4" t="s">
        <v>102</v>
      </c>
      <c r="B93" s="5" t="s">
        <v>101</v>
      </c>
      <c r="C93" s="17">
        <f>C103+C100+C94+C97</f>
        <v>5615908</v>
      </c>
      <c r="D93" s="17">
        <f>D103+D100+D94+D97</f>
        <v>20914839.63</v>
      </c>
      <c r="E93" s="17">
        <f>E103+E100+E94+E97</f>
        <v>20914839.630000003</v>
      </c>
      <c r="F93" s="36">
        <f t="shared" si="10"/>
        <v>100.00000000000003</v>
      </c>
    </row>
    <row r="94" spans="1:6" ht="167.25" customHeight="1">
      <c r="A94" s="4" t="s">
        <v>153</v>
      </c>
      <c r="B94" s="24" t="s">
        <v>154</v>
      </c>
      <c r="C94" s="17">
        <f aca="true" t="shared" si="13" ref="C94:E95">C95</f>
        <v>0</v>
      </c>
      <c r="D94" s="17">
        <f t="shared" si="13"/>
        <v>8758305.899999999</v>
      </c>
      <c r="E94" s="17">
        <f t="shared" si="13"/>
        <v>8758305.9</v>
      </c>
      <c r="F94" s="36">
        <f t="shared" si="10"/>
        <v>100.00000000000003</v>
      </c>
    </row>
    <row r="95" spans="1:6" ht="189.75" customHeight="1">
      <c r="A95" s="4" t="s">
        <v>156</v>
      </c>
      <c r="B95" s="24" t="s">
        <v>155</v>
      </c>
      <c r="C95" s="17">
        <f t="shared" si="13"/>
        <v>0</v>
      </c>
      <c r="D95" s="17">
        <f t="shared" si="13"/>
        <v>8758305.899999999</v>
      </c>
      <c r="E95" s="17">
        <f t="shared" si="13"/>
        <v>8758305.9</v>
      </c>
      <c r="F95" s="36">
        <f t="shared" si="10"/>
        <v>100.00000000000003</v>
      </c>
    </row>
    <row r="96" spans="1:6" ht="190.5" customHeight="1">
      <c r="A96" s="4" t="s">
        <v>157</v>
      </c>
      <c r="B96" s="24" t="s">
        <v>155</v>
      </c>
      <c r="C96" s="63">
        <f>0</f>
        <v>0</v>
      </c>
      <c r="D96" s="17">
        <f>2442525.29+3190635.15+3125145.46</f>
        <v>8758305.899999999</v>
      </c>
      <c r="E96" s="17">
        <f>8758305.9</f>
        <v>8758305.9</v>
      </c>
      <c r="F96" s="36">
        <f t="shared" si="10"/>
        <v>100.00000000000003</v>
      </c>
    </row>
    <row r="97" spans="1:6" ht="132.75" customHeight="1">
      <c r="A97" s="4" t="s">
        <v>173</v>
      </c>
      <c r="B97" s="24" t="s">
        <v>174</v>
      </c>
      <c r="C97" s="17">
        <f aca="true" t="shared" si="14" ref="C97:E98">C98</f>
        <v>0</v>
      </c>
      <c r="D97" s="17">
        <f t="shared" si="14"/>
        <v>2058915</v>
      </c>
      <c r="E97" s="17">
        <f t="shared" si="14"/>
        <v>2058915</v>
      </c>
      <c r="F97" s="36">
        <f t="shared" si="10"/>
        <v>100</v>
      </c>
    </row>
    <row r="98" spans="1:6" ht="150" customHeight="1">
      <c r="A98" s="4" t="s">
        <v>172</v>
      </c>
      <c r="B98" s="24" t="s">
        <v>170</v>
      </c>
      <c r="C98" s="17">
        <f t="shared" si="14"/>
        <v>0</v>
      </c>
      <c r="D98" s="17">
        <f t="shared" si="14"/>
        <v>2058915</v>
      </c>
      <c r="E98" s="17">
        <f t="shared" si="14"/>
        <v>2058915</v>
      </c>
      <c r="F98" s="36">
        <f t="shared" si="10"/>
        <v>100</v>
      </c>
    </row>
    <row r="99" spans="1:6" ht="150.75" customHeight="1">
      <c r="A99" s="4" t="s">
        <v>171</v>
      </c>
      <c r="B99" s="24" t="s">
        <v>170</v>
      </c>
      <c r="C99" s="63">
        <f>0</f>
        <v>0</v>
      </c>
      <c r="D99" s="27">
        <f>2058915</f>
        <v>2058915</v>
      </c>
      <c r="E99" s="17">
        <f>2058915</f>
        <v>2058915</v>
      </c>
      <c r="F99" s="36">
        <f t="shared" si="10"/>
        <v>100</v>
      </c>
    </row>
    <row r="100" spans="1:6" ht="57.75" customHeight="1">
      <c r="A100" s="4" t="s">
        <v>135</v>
      </c>
      <c r="B100" s="5" t="s">
        <v>138</v>
      </c>
      <c r="C100" s="17">
        <f aca="true" t="shared" si="15" ref="C100:E101">C101</f>
        <v>0</v>
      </c>
      <c r="D100" s="17">
        <f t="shared" si="15"/>
        <v>4000000</v>
      </c>
      <c r="E100" s="17">
        <f t="shared" si="15"/>
        <v>4000000</v>
      </c>
      <c r="F100" s="36">
        <f t="shared" si="10"/>
        <v>100</v>
      </c>
    </row>
    <row r="101" spans="1:6" ht="75.75" customHeight="1">
      <c r="A101" s="4" t="s">
        <v>136</v>
      </c>
      <c r="B101" s="5" t="s">
        <v>139</v>
      </c>
      <c r="C101" s="17">
        <f t="shared" si="15"/>
        <v>0</v>
      </c>
      <c r="D101" s="17">
        <f t="shared" si="15"/>
        <v>4000000</v>
      </c>
      <c r="E101" s="17">
        <f t="shared" si="15"/>
        <v>4000000</v>
      </c>
      <c r="F101" s="36">
        <f t="shared" si="10"/>
        <v>100</v>
      </c>
    </row>
    <row r="102" spans="1:6" ht="76.5" customHeight="1">
      <c r="A102" s="4" t="s">
        <v>137</v>
      </c>
      <c r="B102" s="5" t="s">
        <v>139</v>
      </c>
      <c r="C102" s="63">
        <f>0</f>
        <v>0</v>
      </c>
      <c r="D102" s="17">
        <f>4000000</f>
        <v>4000000</v>
      </c>
      <c r="E102" s="17">
        <f>4000000</f>
        <v>4000000</v>
      </c>
      <c r="F102" s="36">
        <f t="shared" si="10"/>
        <v>100</v>
      </c>
    </row>
    <row r="103" spans="1:6" ht="21.75" customHeight="1">
      <c r="A103" s="4" t="s">
        <v>105</v>
      </c>
      <c r="B103" s="5" t="s">
        <v>103</v>
      </c>
      <c r="C103" s="17">
        <f aca="true" t="shared" si="16" ref="C103:E104">C104</f>
        <v>5615908</v>
      </c>
      <c r="D103" s="17">
        <f t="shared" si="16"/>
        <v>6097618.73</v>
      </c>
      <c r="E103" s="17">
        <f t="shared" si="16"/>
        <v>6097618.73</v>
      </c>
      <c r="F103" s="36">
        <f t="shared" si="10"/>
        <v>100</v>
      </c>
    </row>
    <row r="104" spans="1:6" ht="36.75" customHeight="1">
      <c r="A104" s="4" t="s">
        <v>106</v>
      </c>
      <c r="B104" s="5" t="s">
        <v>104</v>
      </c>
      <c r="C104" s="17">
        <f t="shared" si="16"/>
        <v>5615908</v>
      </c>
      <c r="D104" s="17">
        <f t="shared" si="16"/>
        <v>6097618.73</v>
      </c>
      <c r="E104" s="17">
        <f t="shared" si="16"/>
        <v>6097618.73</v>
      </c>
      <c r="F104" s="36">
        <f t="shared" si="10"/>
        <v>100</v>
      </c>
    </row>
    <row r="105" spans="1:6" ht="37.5" customHeight="1">
      <c r="A105" s="4" t="s">
        <v>107</v>
      </c>
      <c r="B105" s="5" t="s">
        <v>104</v>
      </c>
      <c r="C105" s="63">
        <f>5615908</f>
        <v>5615908</v>
      </c>
      <c r="D105" s="17">
        <f>5721151-105243+456998.73+24712</f>
        <v>6097618.73</v>
      </c>
      <c r="E105" s="22">
        <f>6097618.73</f>
        <v>6097618.73</v>
      </c>
      <c r="F105" s="36">
        <f t="shared" si="10"/>
        <v>100</v>
      </c>
    </row>
    <row r="106" spans="1:6" ht="37.5">
      <c r="A106" s="4" t="s">
        <v>108</v>
      </c>
      <c r="B106" s="5" t="s">
        <v>84</v>
      </c>
      <c r="C106" s="12">
        <f aca="true" t="shared" si="17" ref="C106:E108">C107</f>
        <v>3072</v>
      </c>
      <c r="D106" s="12">
        <f t="shared" si="17"/>
        <v>3072</v>
      </c>
      <c r="E106" s="12">
        <f t="shared" si="17"/>
        <v>3072</v>
      </c>
      <c r="F106" s="36">
        <f t="shared" si="10"/>
        <v>100</v>
      </c>
    </row>
    <row r="107" spans="1:6" ht="114" customHeight="1">
      <c r="A107" s="4" t="s">
        <v>109</v>
      </c>
      <c r="B107" s="5" t="s">
        <v>90</v>
      </c>
      <c r="C107" s="12">
        <f t="shared" si="17"/>
        <v>3072</v>
      </c>
      <c r="D107" s="12">
        <f t="shared" si="17"/>
        <v>3072</v>
      </c>
      <c r="E107" s="12">
        <f t="shared" si="17"/>
        <v>3072</v>
      </c>
      <c r="F107" s="36">
        <f t="shared" si="10"/>
        <v>100</v>
      </c>
    </row>
    <row r="108" spans="1:6" ht="131.25" customHeight="1">
      <c r="A108" s="6" t="s">
        <v>110</v>
      </c>
      <c r="B108" s="5" t="s">
        <v>91</v>
      </c>
      <c r="C108" s="12">
        <f t="shared" si="17"/>
        <v>3072</v>
      </c>
      <c r="D108" s="12">
        <f t="shared" si="17"/>
        <v>3072</v>
      </c>
      <c r="E108" s="12">
        <f t="shared" si="17"/>
        <v>3072</v>
      </c>
      <c r="F108" s="36">
        <f t="shared" si="10"/>
        <v>100</v>
      </c>
    </row>
    <row r="109" spans="1:6" ht="130.5" customHeight="1">
      <c r="A109" s="4" t="s">
        <v>111</v>
      </c>
      <c r="B109" s="5" t="s">
        <v>91</v>
      </c>
      <c r="C109" s="55">
        <f>3072</f>
        <v>3072</v>
      </c>
      <c r="D109" s="12">
        <f>3072</f>
        <v>3072</v>
      </c>
      <c r="E109" s="13">
        <f>3072</f>
        <v>3072</v>
      </c>
      <c r="F109" s="36">
        <f t="shared" si="10"/>
        <v>100</v>
      </c>
    </row>
    <row r="110" spans="1:6" ht="21.75" customHeight="1">
      <c r="A110" s="4" t="s">
        <v>158</v>
      </c>
      <c r="B110" s="5" t="s">
        <v>159</v>
      </c>
      <c r="C110" s="12">
        <f aca="true" t="shared" si="18" ref="C110:E111">C111</f>
        <v>0</v>
      </c>
      <c r="D110" s="12">
        <f t="shared" si="18"/>
        <v>60000000</v>
      </c>
      <c r="E110" s="12">
        <f t="shared" si="18"/>
        <v>4150000</v>
      </c>
      <c r="F110" s="36">
        <f t="shared" si="10"/>
        <v>6.916666666666667</v>
      </c>
    </row>
    <row r="111" spans="1:6" ht="149.25" customHeight="1">
      <c r="A111" s="4" t="s">
        <v>160</v>
      </c>
      <c r="B111" s="5" t="s">
        <v>161</v>
      </c>
      <c r="C111" s="12">
        <f t="shared" si="18"/>
        <v>0</v>
      </c>
      <c r="D111" s="12">
        <f t="shared" si="18"/>
        <v>60000000</v>
      </c>
      <c r="E111" s="12">
        <f t="shared" si="18"/>
        <v>4150000</v>
      </c>
      <c r="F111" s="36">
        <f t="shared" si="10"/>
        <v>6.916666666666667</v>
      </c>
    </row>
    <row r="112" spans="1:6" ht="151.5" customHeight="1">
      <c r="A112" s="4" t="s">
        <v>162</v>
      </c>
      <c r="B112" s="5" t="s">
        <v>161</v>
      </c>
      <c r="C112" s="55">
        <f>0</f>
        <v>0</v>
      </c>
      <c r="D112" s="12">
        <f>60000000</f>
        <v>60000000</v>
      </c>
      <c r="E112" s="13">
        <f>4150000</f>
        <v>4150000</v>
      </c>
      <c r="F112" s="36">
        <f t="shared" si="10"/>
        <v>6.916666666666667</v>
      </c>
    </row>
    <row r="113" spans="1:6" s="15" customFormat="1" ht="38.25" customHeight="1">
      <c r="A113" s="2" t="s">
        <v>163</v>
      </c>
      <c r="B113" s="23" t="s">
        <v>164</v>
      </c>
      <c r="C113" s="11">
        <f aca="true" t="shared" si="19" ref="C113:E115">C114</f>
        <v>0</v>
      </c>
      <c r="D113" s="11">
        <f t="shared" si="19"/>
        <v>18279.95</v>
      </c>
      <c r="E113" s="11">
        <f t="shared" si="19"/>
        <v>18279.95</v>
      </c>
      <c r="F113" s="33">
        <f t="shared" si="10"/>
        <v>100</v>
      </c>
    </row>
    <row r="114" spans="1:6" ht="38.25" customHeight="1">
      <c r="A114" s="6" t="s">
        <v>166</v>
      </c>
      <c r="B114" s="5" t="s">
        <v>165</v>
      </c>
      <c r="C114" s="12">
        <f t="shared" si="19"/>
        <v>0</v>
      </c>
      <c r="D114" s="12">
        <f t="shared" si="19"/>
        <v>18279.95</v>
      </c>
      <c r="E114" s="12">
        <f t="shared" si="19"/>
        <v>18279.95</v>
      </c>
      <c r="F114" s="36">
        <f t="shared" si="10"/>
        <v>100</v>
      </c>
    </row>
    <row r="115" spans="1:6" ht="42.75" customHeight="1">
      <c r="A115" s="6" t="s">
        <v>167</v>
      </c>
      <c r="B115" s="5" t="s">
        <v>165</v>
      </c>
      <c r="C115" s="12">
        <f t="shared" si="19"/>
        <v>0</v>
      </c>
      <c r="D115" s="12">
        <f t="shared" si="19"/>
        <v>18279.95</v>
      </c>
      <c r="E115" s="12">
        <f t="shared" si="19"/>
        <v>18279.95</v>
      </c>
      <c r="F115" s="36">
        <f t="shared" si="10"/>
        <v>100</v>
      </c>
    </row>
    <row r="116" spans="1:6" ht="38.25" customHeight="1">
      <c r="A116" s="6" t="s">
        <v>168</v>
      </c>
      <c r="B116" s="5" t="s">
        <v>165</v>
      </c>
      <c r="C116" s="55">
        <f>0</f>
        <v>0</v>
      </c>
      <c r="D116" s="12">
        <v>18279.95</v>
      </c>
      <c r="E116" s="13">
        <f>18279.95</f>
        <v>18279.95</v>
      </c>
      <c r="F116" s="36">
        <f t="shared" si="10"/>
        <v>100</v>
      </c>
    </row>
    <row r="117" spans="1:6" s="15" customFormat="1" ht="113.25" customHeight="1">
      <c r="A117" s="2" t="s">
        <v>114</v>
      </c>
      <c r="B117" s="23" t="s">
        <v>113</v>
      </c>
      <c r="C117" s="11">
        <f aca="true" t="shared" si="20" ref="C117:E119">C118</f>
        <v>0</v>
      </c>
      <c r="D117" s="11">
        <f t="shared" si="20"/>
        <v>-181172.47999999995</v>
      </c>
      <c r="E117" s="11">
        <f t="shared" si="20"/>
        <v>-181172.48</v>
      </c>
      <c r="F117" s="33">
        <f t="shared" si="10"/>
        <v>100.00000000000003</v>
      </c>
    </row>
    <row r="118" spans="1:6" ht="76.5" customHeight="1">
      <c r="A118" s="4" t="s">
        <v>115</v>
      </c>
      <c r="B118" s="5" t="s">
        <v>116</v>
      </c>
      <c r="C118" s="12">
        <f t="shared" si="20"/>
        <v>0</v>
      </c>
      <c r="D118" s="12">
        <f t="shared" si="20"/>
        <v>-181172.47999999995</v>
      </c>
      <c r="E118" s="12">
        <f t="shared" si="20"/>
        <v>-181172.48</v>
      </c>
      <c r="F118" s="36">
        <f t="shared" si="10"/>
        <v>100.00000000000003</v>
      </c>
    </row>
    <row r="119" spans="1:6" ht="94.5" customHeight="1">
      <c r="A119" s="4" t="s">
        <v>117</v>
      </c>
      <c r="B119" s="5" t="s">
        <v>118</v>
      </c>
      <c r="C119" s="12">
        <f t="shared" si="20"/>
        <v>0</v>
      </c>
      <c r="D119" s="12">
        <f t="shared" si="20"/>
        <v>-181172.47999999995</v>
      </c>
      <c r="E119" s="12">
        <f t="shared" si="20"/>
        <v>-181172.48</v>
      </c>
      <c r="F119" s="36">
        <f t="shared" si="10"/>
        <v>100.00000000000003</v>
      </c>
    </row>
    <row r="120" spans="1:6" ht="94.5" customHeight="1">
      <c r="A120" s="4" t="s">
        <v>119</v>
      </c>
      <c r="B120" s="5" t="s">
        <v>118</v>
      </c>
      <c r="C120" s="55">
        <f>0</f>
        <v>0</v>
      </c>
      <c r="D120" s="12">
        <f>-5150753.96+5000000+(-30418.52)</f>
        <v>-181172.47999999995</v>
      </c>
      <c r="E120" s="13">
        <f>-181172.48</f>
        <v>-181172.48</v>
      </c>
      <c r="F120" s="36">
        <f t="shared" si="10"/>
        <v>100.00000000000003</v>
      </c>
    </row>
    <row r="121" spans="1:6" s="15" customFormat="1" ht="18.75">
      <c r="A121" s="70" t="s">
        <v>112</v>
      </c>
      <c r="B121" s="70"/>
      <c r="C121" s="11">
        <f>C14+C84</f>
        <v>71053455.37</v>
      </c>
      <c r="D121" s="11">
        <f>D14+D84</f>
        <v>148940741.95999998</v>
      </c>
      <c r="E121" s="11">
        <f>E14+E84</f>
        <v>96372331.61000001</v>
      </c>
      <c r="F121" s="33">
        <f t="shared" si="10"/>
        <v>64.7051507477263</v>
      </c>
    </row>
    <row r="122" ht="18.75">
      <c r="F122" s="26"/>
    </row>
    <row r="123" spans="1:6" ht="34.5" customHeight="1">
      <c r="A123" s="69" t="s">
        <v>204</v>
      </c>
      <c r="B123" s="69"/>
      <c r="C123" s="69"/>
      <c r="D123" s="69"/>
      <c r="E123" s="69"/>
      <c r="F123" s="69"/>
    </row>
    <row r="125" ht="18.75">
      <c r="D125" s="18"/>
    </row>
  </sheetData>
  <sheetProtection/>
  <mergeCells count="16">
    <mergeCell ref="A1:F1"/>
    <mergeCell ref="A2:F2"/>
    <mergeCell ref="A3:F3"/>
    <mergeCell ref="A4:F4"/>
    <mergeCell ref="A5:F5"/>
    <mergeCell ref="A6:F6"/>
    <mergeCell ref="C11:D11"/>
    <mergeCell ref="E11:E12"/>
    <mergeCell ref="F11:F12"/>
    <mergeCell ref="A7:F7"/>
    <mergeCell ref="A8:F8"/>
    <mergeCell ref="A123:F123"/>
    <mergeCell ref="A121:B121"/>
    <mergeCell ref="B10:F10"/>
    <mergeCell ref="A11:A12"/>
    <mergeCell ref="B11:B12"/>
  </mergeCells>
  <printOptions/>
  <pageMargins left="0.8661417322834646" right="0.3937007874015748" top="0.3937007874015748" bottom="0.3937007874015748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Манакина</cp:lastModifiedBy>
  <cp:lastPrinted>2020-03-10T11:44:47Z</cp:lastPrinted>
  <dcterms:created xsi:type="dcterms:W3CDTF">2009-08-21T08:27:43Z</dcterms:created>
  <dcterms:modified xsi:type="dcterms:W3CDTF">2020-03-10T12:01:01Z</dcterms:modified>
  <cp:category/>
  <cp:version/>
  <cp:contentType/>
  <cp:contentStatus/>
</cp:coreProperties>
</file>