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2 год" sheetId="1" r:id="rId1"/>
  </sheets>
  <definedNames>
    <definedName name="_xlnm.Print_Titles" localSheetId="0">'Прил. № 4 Распред на 2022 год'!$23:$23</definedName>
  </definedNames>
  <calcPr fullCalcOnLoad="1"/>
</workbook>
</file>

<file path=xl/sharedStrings.xml><?xml version="1.0" encoding="utf-8"?>
<sst xmlns="http://schemas.openxmlformats.org/spreadsheetml/2006/main" count="306" uniqueCount="300">
  <si>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</si>
  <si>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</si>
  <si>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</si>
  <si>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</si>
  <si>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</si>
  <si>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</si>
  <si>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</si>
  <si>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</si>
  <si>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</si>
  <si>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</si>
  <si>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</si>
  <si>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</si>
  <si>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</si>
  <si>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</si>
  <si>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</si>
  <si>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</si>
  <si>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</si>
  <si>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</si>
  <si>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</si>
  <si>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</si>
  <si>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</si>
  <si>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</si>
  <si>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</si>
  <si>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</si>
  <si>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</si>
  <si>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</si>
  <si>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</si>
  <si>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</si>
  <si>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</si>
  <si>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</si>
  <si>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</si>
  <si>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</si>
  <si>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</si>
  <si>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</si>
  <si>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</si>
  <si>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</si>
  <si>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</si>
  <si>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</si>
  <si>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</si>
  <si>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</si>
  <si>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</si>
  <si>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</si>
  <si>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</si>
  <si>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</si>
  <si>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</si>
  <si>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</si>
  <si>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</si>
  <si>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</si>
  <si>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</si>
  <si>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</si>
  <si>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</si>
  <si>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</si>
  <si>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</si>
  <si>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</si>
  <si>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</si>
  <si>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</si>
  <si>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</si>
  <si>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</si>
  <si>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</si>
  <si>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</si>
  <si>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</si>
  <si>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</si>
  <si>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</si>
  <si>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</si>
  <si>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</si>
  <si>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</si>
  <si>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</si>
  <si>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</si>
  <si>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</si>
  <si>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</si>
  <si>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02 7 02 20250</t>
  </si>
  <si>
    <t xml:space="preserve">03 2 01 20280 </t>
  </si>
  <si>
    <t xml:space="preserve">03 2 01 20290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</si>
  <si>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</si>
  <si>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</si>
  <si>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</si>
  <si>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</si>
  <si>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</si>
  <si>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</si>
  <si>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</si>
  <si>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</si>
  <si>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</si>
  <si>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</si>
  <si>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</si>
  <si>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</si>
  <si>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</si>
  <si>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</si>
  <si>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</si>
  <si>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</si>
  <si>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</si>
  <si>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</si>
  <si>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</si>
  <si>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</si>
  <si>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</si>
  <si>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</si>
  <si>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</si>
  <si>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</si>
  <si>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</si>
  <si>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</si>
  <si>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</si>
  <si>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</si>
  <si>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</si>
  <si>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</si>
  <si>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</si>
  <si>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</si>
  <si>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</si>
  <si>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</si>
  <si>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</si>
  <si>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</si>
  <si>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</si>
  <si>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</si>
  <si>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</si>
  <si>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</si>
  <si>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</si>
  <si>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</si>
  <si>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</si>
  <si>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</si>
  <si>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</si>
  <si>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</si>
  <si>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</si>
  <si>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</si>
  <si>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</si>
  <si>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</si>
  <si>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</si>
  <si>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</si>
  <si>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</si>
  <si>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</si>
  <si>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</si>
  <si>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</si>
  <si>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</si>
  <si>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</si>
  <si>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</si>
  <si>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</si>
  <si>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</si>
  <si>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</si>
  <si>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</si>
  <si>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</si>
  <si>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</si>
  <si>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</si>
  <si>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</si>
  <si>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</si>
  <si>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</si>
  <si>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</si>
  <si>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</si>
  <si>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</si>
  <si>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</si>
  <si>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</si>
  <si>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</si>
  <si>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</si>
  <si>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</si>
  <si>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</si>
  <si>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</si>
  <si>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</si>
  <si>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</si>
  <si>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</si>
  <si>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</si>
  <si>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</si>
  <si>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</si>
  <si>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</si>
  <si>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</si>
  <si>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</si>
  <si>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</si>
  <si>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</si>
  <si>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</si>
  <si>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</si>
  <si>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02 3 01 21640</t>
  </si>
  <si>
    <t>02 3 01 21650</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</si>
  <si>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</si>
  <si>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</si>
  <si>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</si>
  <si>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2022 год</t>
  </si>
  <si>
    <t>Сумма, руб.</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</si>
  <si>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</si>
  <si>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</si>
  <si>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</si>
  <si>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</si>
  <si>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</si>
  <si>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</si>
  <si>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</si>
  <si>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</si>
  <si>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</si>
  <si>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02 7 01 21740 </t>
  </si>
  <si>
    <t xml:space="preserve">02 7 01 21750 </t>
  </si>
  <si>
    <t>02 2 01 21760</t>
  </si>
  <si>
    <t>Основное мероприятие "Муниципальный проект "Формирование комфортной городской среды""</t>
  </si>
  <si>
    <t>06 1 F2 00000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</si>
  <si>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</si>
  <si>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</si>
  <si>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</si>
  <si>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</si>
  <si>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</si>
  <si>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</si>
  <si>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</si>
  <si>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</si>
  <si>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02 2 01 21800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</si>
  <si>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</si>
  <si>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</si>
  <si>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</si>
  <si>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</si>
  <si>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</si>
  <si>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</si>
  <si>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</si>
  <si>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</si>
  <si>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</si>
  <si>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4</t>
  </si>
  <si>
    <t>"</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</si>
  <si>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</si>
  <si>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</si>
  <si>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</si>
  <si>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</si>
  <si>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</si>
  <si>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</si>
  <si>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</si>
  <si>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</si>
  <si>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02 2 01 21380 </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</si>
  <si>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</si>
  <si>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02 3 01 21710</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</si>
  <si>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</si>
  <si>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06 1 01 21830</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</si>
  <si>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</si>
  <si>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</si>
  <si>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06 1 01 21880</t>
  </si>
  <si>
    <t>06 1 01 21890</t>
  </si>
  <si>
    <t>06 1 01 21900</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</si>
  <si>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</si>
  <si>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</si>
  <si>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</si>
  <si>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</si>
  <si>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</si>
  <si>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</si>
  <si>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</si>
  <si>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</si>
  <si>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</si>
  <si>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</si>
  <si>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</si>
  <si>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</si>
  <si>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</si>
  <si>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</si>
  <si>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</si>
  <si>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31 9 00 66070 </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</si>
  <si>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</si>
  <si>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02 3 01 S8600</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</si>
  <si>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</si>
  <si>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02 2 01 40030</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</si>
  <si>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</si>
  <si>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</si>
  <si>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</si>
  <si>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</si>
  <si>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</si>
  <si>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</si>
  <si>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</si>
  <si>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</si>
  <si>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 xml:space="preserve">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</si>
  <si>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</si>
  <si>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</si>
  <si>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</si>
  <si>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</si>
  <si>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</si>
  <si>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02 3 02 20860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</si>
  <si>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</si>
  <si>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31 9 00 90430</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</si>
  <si>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</si>
  <si>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</si>
  <si>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</si>
  <si>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</si>
  <si>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</si>
  <si>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</si>
  <si>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31 9 00 90450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</si>
  <si>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</si>
  <si>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Оплата судебных расходов  по определению Арбитражного суда Ивановской области от 20 июня 2022г. по делу № А17-4845/2021 (Иные бюджетные ассигнования)</t>
  </si>
  <si>
    <t>31 9 00 90460</t>
  </si>
  <si>
    <t>31 9 00 90470</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</si>
  <si>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</si>
  <si>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</si>
  <si>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</si>
  <si>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</si>
  <si>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</si>
  <si>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</si>
  <si>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t>
  </si>
  <si>
    <t>02 2 01 21980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</si>
  <si>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</si>
  <si>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</si>
  <si>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</si>
  <si>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</si>
  <si>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 xml:space="preserve">Резервный фонд Администрации Южского муниципального района (Иные бюджетные ассигнования) </t>
  </si>
  <si>
    <t xml:space="preserve">03 2 01 20300 </t>
  </si>
  <si>
    <t>31 9 00 90510</t>
  </si>
  <si>
    <t>Оплата судебных расходов по делу № А17-8240/2021 (Иные бюджетные ассигнования)</t>
  </si>
  <si>
    <t>01 2 01 22020</t>
  </si>
  <si>
    <t>Выполнение рабочей проектно-сметной документации по ремонту части здания объекта культурного наследия местного (муниципального) значения "Народный дом", расположенного по адресу: Ивановская область, г. Южа, ул. Советская, д.9 (Предоставление субсидий бюджетным, автономным учреждениям и иным некоммерческим организациям)</t>
  </si>
  <si>
    <t>02 2 01 21960</t>
  </si>
  <si>
    <t>Выполнение работ по планировке общественной территории для размещения посадочной площадки для вертолета для целей оказания своевременной экстренной медицинской помощи населению (Закупка товаров, работ и услуг для обеспечения государственных (муниципальных) нужд)</t>
  </si>
  <si>
    <t>02 7 03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</si>
  <si>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</si>
  <si>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Приложение № 3</t>
  </si>
  <si>
    <t>31 9 00 20600</t>
  </si>
  <si>
    <t xml:space="preserve">Средства на организацию приобретения новогодних подарков детям, родители которых работают в муниципальных учреждениях Южского городского поселения  (Предоставление субсидий бюджетным, автономным учреждениям и иным некоммерческим организациям) </t>
  </si>
  <si>
    <t>31 9 00 90520</t>
  </si>
  <si>
    <t>Оплата административного штрафа (в соответствии с постановлением по делу об административном правонарушении от 17.05.2022 года, АД № 1308/22/37023-АП от 21.09.2022) (Иные бюджетные ассигнования)</t>
  </si>
  <si>
    <t>от  17.11.2022 № 74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</si>
</sst>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9">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7">
    <xf numFmtId="0" fontId="0" fillId="0" borderId="0" xfId="0" applyFont="1" applyAlignment="1">
      <alignment/>
    </xf>
    <xf numFmtId="0" fontId="6" fillId="33" borderId="0" xfId="0" applyFont="1" applyFill="1" applyAlignment="1">
      <alignment/>
    </xf>
    <xf numFmtId="0" fontId="10"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0" fontId="8" fillId="33" borderId="11" xfId="0" applyFont="1" applyFill="1" applyBorder="1" applyAlignment="1">
      <alignment horizontal="justify" vertical="center" wrapText="1"/>
    </xf>
    <xf numFmtId="0" fontId="6" fillId="33" borderId="11" xfId="0" applyFont="1" applyFill="1" applyBorder="1" applyAlignment="1">
      <alignment horizontal="justify" vertical="center" wrapText="1"/>
    </xf>
    <xf numFmtId="0" fontId="48" fillId="33" borderId="0" xfId="0" applyFont="1" applyFill="1" applyAlignment="1">
      <alignment horizontal="center" vertical="center"/>
    </xf>
    <xf numFmtId="49" fontId="7" fillId="33" borderId="11" xfId="0" applyNumberFormat="1" applyFont="1" applyFill="1" applyBorder="1" applyAlignment="1">
      <alignment horizontal="justify" vertical="top" wrapText="1"/>
    </xf>
    <xf numFmtId="0" fontId="48" fillId="33" borderId="11" xfId="0" applyFont="1" applyFill="1" applyBorder="1" applyAlignment="1">
      <alignment horizontal="center" vertical="center"/>
    </xf>
    <xf numFmtId="0" fontId="48" fillId="33" borderId="12" xfId="0" applyFont="1" applyFill="1" applyBorder="1" applyAlignment="1">
      <alignment horizontal="center" vertical="center"/>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6" fillId="33" borderId="0" xfId="0" applyFont="1" applyFill="1" applyAlignment="1">
      <alignment horizontal="center"/>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xf numFmtId="0" fontId="6" fillId="33" borderId="0" xfId="0" applyFont="1" applyFill="1" applyAlignment="1">
      <alignment horizontal="right" vertical="center" wrapText="1"/>
    </xf>
    <xf numFmtId="0" fontId="6" fillId="33"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3"/>
  <sheetViews>
    <sheetView tabSelected="1" zoomScale="90" zoomScaleNormal="90" zoomScalePageLayoutView="0" workbookViewId="0" topLeftCell="A1">
      <selection activeCell="I10" sqref="I10"/>
    </sheetView>
  </sheetViews>
  <sheetFormatPr defaultColWidth="9.140625" defaultRowHeight="15"/>
  <cols>
    <col min="1" max="1" width="62.57421875" style="1" customWidth="1"/>
    <col min="2" max="2" width="18.7109375" style="40" customWidth="1"/>
    <col min="3" max="3" width="6.140625" style="33" customWidth="1"/>
    <col min="4" max="4" width="19.8515625" style="1" customWidth="1"/>
    <col min="5" max="5" width="2.7109375" style="1" customWidth="1"/>
    <col min="6" max="16384" width="9.140625" style="1" customWidth="1"/>
  </cols>
  <sheetData>
    <row r="1" spans="1:5" ht="18.75" customHeight="1">
      <c r="A1" s="45" t="s">
        <v>294</v>
      </c>
      <c r="B1" s="45"/>
      <c r="C1" s="45"/>
      <c r="D1" s="45"/>
      <c r="E1" s="45"/>
    </row>
    <row r="2" spans="1:5" ht="18.75">
      <c r="A2" s="45" t="s">
        <v>206</v>
      </c>
      <c r="B2" s="45"/>
      <c r="C2" s="45"/>
      <c r="D2" s="45"/>
      <c r="E2" s="45"/>
    </row>
    <row r="3" spans="1:5" ht="18.75">
      <c r="A3" s="45" t="s">
        <v>207</v>
      </c>
      <c r="B3" s="45"/>
      <c r="C3" s="45"/>
      <c r="D3" s="45"/>
      <c r="E3" s="45"/>
    </row>
    <row r="4" spans="1:5" ht="18.75">
      <c r="A4" s="45" t="s">
        <v>208</v>
      </c>
      <c r="B4" s="45"/>
      <c r="C4" s="45"/>
      <c r="D4" s="45"/>
      <c r="E4" s="45"/>
    </row>
    <row r="5" spans="1:5" ht="81" customHeight="1">
      <c r="A5" s="45" t="s">
        <v>209</v>
      </c>
      <c r="B5" s="45"/>
      <c r="C5" s="45"/>
      <c r="D5" s="45"/>
      <c r="E5" s="45"/>
    </row>
    <row r="6" spans="1:5" ht="17.25" customHeight="1">
      <c r="A6" s="45" t="s">
        <v>210</v>
      </c>
      <c r="B6" s="45"/>
      <c r="C6" s="45"/>
      <c r="D6" s="45"/>
      <c r="E6" s="45"/>
    </row>
    <row r="7" spans="1:5" ht="23.25" customHeight="1">
      <c r="A7" s="45" t="s">
        <v>211</v>
      </c>
      <c r="B7" s="45"/>
      <c r="C7" s="45"/>
      <c r="D7" s="45"/>
      <c r="E7" s="45"/>
    </row>
    <row r="8" spans="1:5" s="2" customFormat="1" ht="18.75">
      <c r="A8" s="45" t="s">
        <v>299</v>
      </c>
      <c r="B8" s="45"/>
      <c r="C8" s="45"/>
      <c r="D8" s="45"/>
      <c r="E8" s="45"/>
    </row>
    <row r="9" spans="1:4" ht="18.75">
      <c r="A9" s="46"/>
      <c r="B9" s="46"/>
      <c r="C9" s="46"/>
      <c r="D9" s="46"/>
    </row>
    <row r="10" spans="1:4" ht="18.75">
      <c r="A10" s="46"/>
      <c r="B10" s="46"/>
      <c r="C10" s="46"/>
      <c r="D10" s="46"/>
    </row>
    <row r="11" spans="1:4" ht="18.75">
      <c r="A11" s="42" t="s">
        <v>204</v>
      </c>
      <c r="B11" s="42"/>
      <c r="C11" s="42"/>
      <c r="D11" s="42"/>
    </row>
    <row r="12" spans="1:4" ht="18.75">
      <c r="A12" s="42" t="s">
        <v>172</v>
      </c>
      <c r="B12" s="42"/>
      <c r="C12" s="42"/>
      <c r="D12" s="42"/>
    </row>
    <row r="13" spans="1:4" ht="18.75">
      <c r="A13" s="42" t="s">
        <v>173</v>
      </c>
      <c r="B13" s="42"/>
      <c r="C13" s="42"/>
      <c r="D13" s="42"/>
    </row>
    <row r="14" spans="1:4" ht="18.75">
      <c r="A14" s="42" t="s">
        <v>174</v>
      </c>
      <c r="B14" s="42"/>
      <c r="C14" s="42"/>
      <c r="D14" s="42"/>
    </row>
    <row r="15" spans="1:4" ht="18.75">
      <c r="A15" s="42" t="s">
        <v>175</v>
      </c>
      <c r="B15" s="42"/>
      <c r="C15" s="42"/>
      <c r="D15" s="42"/>
    </row>
    <row r="16" spans="1:4" ht="78" customHeight="1">
      <c r="A16" s="43" t="s">
        <v>176</v>
      </c>
      <c r="B16" s="43"/>
      <c r="C16" s="43"/>
      <c r="D16" s="43"/>
    </row>
    <row r="17" spans="1:4" ht="21" customHeight="1">
      <c r="A17" s="42" t="s">
        <v>203</v>
      </c>
      <c r="B17" s="42"/>
      <c r="C17" s="42"/>
      <c r="D17" s="42"/>
    </row>
    <row r="20" spans="1:4" s="3" customFormat="1" ht="138" customHeight="1">
      <c r="A20" s="44" t="s">
        <v>170</v>
      </c>
      <c r="B20" s="44"/>
      <c r="C20" s="44"/>
      <c r="D20" s="44"/>
    </row>
    <row r="21" spans="1:4" s="5" customFormat="1" ht="14.25" customHeight="1">
      <c r="A21" s="4"/>
      <c r="B21" s="4"/>
      <c r="C21" s="4"/>
      <c r="D21" s="4"/>
    </row>
    <row r="22" spans="1:4" ht="78" customHeight="1">
      <c r="A22" s="6" t="s">
        <v>96</v>
      </c>
      <c r="B22" s="6" t="s">
        <v>97</v>
      </c>
      <c r="C22" s="7" t="s">
        <v>98</v>
      </c>
      <c r="D22" s="8" t="s">
        <v>171</v>
      </c>
    </row>
    <row r="23" spans="1:4" s="40" customFormat="1" ht="18.75">
      <c r="A23" s="9">
        <v>1</v>
      </c>
      <c r="B23" s="9">
        <v>2</v>
      </c>
      <c r="C23" s="9">
        <v>3</v>
      </c>
      <c r="D23" s="10">
        <v>4</v>
      </c>
    </row>
    <row r="24" spans="1:4" s="14" customFormat="1" ht="61.5" customHeight="1">
      <c r="A24" s="11" t="s">
        <v>81</v>
      </c>
      <c r="B24" s="12" t="s">
        <v>0</v>
      </c>
      <c r="C24" s="12"/>
      <c r="D24" s="13">
        <f>D25+D28</f>
        <v>43142548.07</v>
      </c>
    </row>
    <row r="25" spans="1:4" s="15" customFormat="1" ht="61.5" customHeight="1">
      <c r="A25" s="11" t="s">
        <v>21</v>
      </c>
      <c r="B25" s="12" t="s">
        <v>1</v>
      </c>
      <c r="C25" s="12"/>
      <c r="D25" s="13">
        <f>D26</f>
        <v>100000</v>
      </c>
    </row>
    <row r="26" spans="1:4" s="19" customFormat="1" ht="56.25">
      <c r="A26" s="16" t="s">
        <v>20</v>
      </c>
      <c r="B26" s="17" t="s">
        <v>19</v>
      </c>
      <c r="C26" s="17"/>
      <c r="D26" s="18">
        <f>D27</f>
        <v>100000</v>
      </c>
    </row>
    <row r="27" spans="1:4" ht="135" customHeight="1">
      <c r="A27" s="20" t="s">
        <v>104</v>
      </c>
      <c r="B27" s="8" t="s">
        <v>62</v>
      </c>
      <c r="C27" s="8">
        <v>600</v>
      </c>
      <c r="D27" s="21">
        <f>100000</f>
        <v>100000</v>
      </c>
    </row>
    <row r="28" spans="1:4" s="15" customFormat="1" ht="62.25" customHeight="1">
      <c r="A28" s="11" t="s">
        <v>80</v>
      </c>
      <c r="B28" s="12" t="s">
        <v>2</v>
      </c>
      <c r="C28" s="12"/>
      <c r="D28" s="13">
        <f>D29</f>
        <v>43042548.07</v>
      </c>
    </row>
    <row r="29" spans="1:4" s="19" customFormat="1" ht="80.25" customHeight="1">
      <c r="A29" s="22" t="s">
        <v>24</v>
      </c>
      <c r="B29" s="17" t="s">
        <v>3</v>
      </c>
      <c r="C29" s="17"/>
      <c r="D29" s="18">
        <f>SUM(D30:D41)</f>
        <v>43042548.07</v>
      </c>
    </row>
    <row r="30" spans="1:4" ht="96.75" customHeight="1">
      <c r="A30" s="23" t="s">
        <v>105</v>
      </c>
      <c r="B30" s="8" t="s">
        <v>55</v>
      </c>
      <c r="C30" s="8">
        <v>600</v>
      </c>
      <c r="D30" s="21">
        <f>16876880.78+280353.93+204639.79+90639.75+300000+48000+10000+237362.72+30147.01+432463.61</f>
        <v>18510487.59</v>
      </c>
    </row>
    <row r="31" spans="1:4" ht="58.5" customHeight="1">
      <c r="A31" s="20" t="s">
        <v>31</v>
      </c>
      <c r="B31" s="8" t="s">
        <v>54</v>
      </c>
      <c r="C31" s="8">
        <v>600</v>
      </c>
      <c r="D31" s="21">
        <f>33440+76940-1610</f>
        <v>108770</v>
      </c>
    </row>
    <row r="32" spans="1:4" ht="60" customHeight="1">
      <c r="A32" s="20" t="s">
        <v>32</v>
      </c>
      <c r="B32" s="8" t="s">
        <v>63</v>
      </c>
      <c r="C32" s="8">
        <v>600</v>
      </c>
      <c r="D32" s="21">
        <f>5280</f>
        <v>5280</v>
      </c>
    </row>
    <row r="33" spans="1:4" ht="81" customHeight="1">
      <c r="A33" s="20" t="s">
        <v>33</v>
      </c>
      <c r="B33" s="8" t="s">
        <v>64</v>
      </c>
      <c r="C33" s="8">
        <v>600</v>
      </c>
      <c r="D33" s="21">
        <f>200000+618928-76940+39578.39-35690.89</f>
        <v>745875.5</v>
      </c>
    </row>
    <row r="34" spans="1:4" ht="80.25" customHeight="1">
      <c r="A34" s="23" t="s">
        <v>34</v>
      </c>
      <c r="B34" s="8" t="s">
        <v>65</v>
      </c>
      <c r="C34" s="8">
        <v>200</v>
      </c>
      <c r="D34" s="21">
        <f>77000</f>
        <v>77000</v>
      </c>
    </row>
    <row r="35" spans="1:4" ht="99" customHeight="1">
      <c r="A35" s="23" t="s">
        <v>117</v>
      </c>
      <c r="B35" s="8" t="s">
        <v>118</v>
      </c>
      <c r="C35" s="8">
        <v>600</v>
      </c>
      <c r="D35" s="21">
        <f>150000-2277.5</f>
        <v>147722.5</v>
      </c>
    </row>
    <row r="36" spans="1:4" ht="100.5" customHeight="1">
      <c r="A36" s="23" t="s">
        <v>149</v>
      </c>
      <c r="B36" s="8" t="s">
        <v>150</v>
      </c>
      <c r="C36" s="8">
        <v>200</v>
      </c>
      <c r="D36" s="21">
        <f>73000</f>
        <v>73000</v>
      </c>
    </row>
    <row r="37" spans="1:4" ht="177.75" customHeight="1">
      <c r="A37" s="23" t="s">
        <v>250</v>
      </c>
      <c r="B37" s="8" t="s">
        <v>249</v>
      </c>
      <c r="C37" s="8">
        <v>600</v>
      </c>
      <c r="D37" s="21">
        <f>40000</f>
        <v>40000</v>
      </c>
    </row>
    <row r="38" spans="1:4" ht="138" customHeight="1">
      <c r="A38" s="23" t="s">
        <v>289</v>
      </c>
      <c r="B38" s="8" t="s">
        <v>288</v>
      </c>
      <c r="C38" s="8">
        <v>600</v>
      </c>
      <c r="D38" s="21">
        <f>450000</f>
        <v>450000</v>
      </c>
    </row>
    <row r="39" spans="1:4" ht="139.5" customHeight="1">
      <c r="A39" s="20" t="s">
        <v>179</v>
      </c>
      <c r="B39" s="8" t="s">
        <v>180</v>
      </c>
      <c r="C39" s="8">
        <v>600</v>
      </c>
      <c r="D39" s="21">
        <f>6362604-135745</f>
        <v>6226859</v>
      </c>
    </row>
    <row r="40" spans="1:4" ht="140.25" customHeight="1">
      <c r="A40" s="23" t="s">
        <v>220</v>
      </c>
      <c r="B40" s="8" t="s">
        <v>56</v>
      </c>
      <c r="C40" s="8">
        <v>600</v>
      </c>
      <c r="D40" s="21">
        <f>1121650.92</f>
        <v>1121650.92</v>
      </c>
    </row>
    <row r="41" spans="1:4" ht="105.75" customHeight="1">
      <c r="A41" s="23" t="s">
        <v>213</v>
      </c>
      <c r="B41" s="8" t="s">
        <v>212</v>
      </c>
      <c r="C41" s="8">
        <v>600</v>
      </c>
      <c r="D41" s="21">
        <f>740042.11+14060800+424130.97+310929.48</f>
        <v>15535902.56</v>
      </c>
    </row>
    <row r="42" spans="1:4" s="15" customFormat="1" ht="79.5" customHeight="1">
      <c r="A42" s="11" t="s">
        <v>82</v>
      </c>
      <c r="B42" s="12" t="s">
        <v>4</v>
      </c>
      <c r="C42" s="12"/>
      <c r="D42" s="13">
        <f>D43+D52+D72+D90+D94+D97+D105+D109</f>
        <v>109029744.12</v>
      </c>
    </row>
    <row r="43" spans="1:4" s="15" customFormat="1" ht="59.25" customHeight="1">
      <c r="A43" s="11" t="s">
        <v>36</v>
      </c>
      <c r="B43" s="12" t="s">
        <v>5</v>
      </c>
      <c r="C43" s="12"/>
      <c r="D43" s="13">
        <f>D44</f>
        <v>13047763.07</v>
      </c>
    </row>
    <row r="44" spans="1:4" s="19" customFormat="1" ht="78.75" customHeight="1">
      <c r="A44" s="22" t="s">
        <v>25</v>
      </c>
      <c r="B44" s="17" t="s">
        <v>6</v>
      </c>
      <c r="C44" s="17"/>
      <c r="D44" s="18">
        <f>SUM(D45:E51)</f>
        <v>13047763.07</v>
      </c>
    </row>
    <row r="45" spans="1:4" ht="81" customHeight="1">
      <c r="A45" s="23" t="s">
        <v>37</v>
      </c>
      <c r="B45" s="8" t="s">
        <v>57</v>
      </c>
      <c r="C45" s="8">
        <v>200</v>
      </c>
      <c r="D45" s="21">
        <f>150000-80000</f>
        <v>70000</v>
      </c>
    </row>
    <row r="46" spans="1:4" ht="117" customHeight="1">
      <c r="A46" s="23" t="s">
        <v>73</v>
      </c>
      <c r="B46" s="8" t="s">
        <v>66</v>
      </c>
      <c r="C46" s="8">
        <v>200</v>
      </c>
      <c r="D46" s="21">
        <f>1000000-0.01-191461.68-500000+146050</f>
        <v>454588.31000000006</v>
      </c>
    </row>
    <row r="47" spans="1:4" ht="78.75" customHeight="1">
      <c r="A47" s="23" t="s">
        <v>92</v>
      </c>
      <c r="B47" s="8" t="s">
        <v>93</v>
      </c>
      <c r="C47" s="8">
        <v>200</v>
      </c>
      <c r="D47" s="21">
        <f>90103+17076.2-11446.9</f>
        <v>95732.3</v>
      </c>
    </row>
    <row r="48" spans="1:4" ht="80.25" customHeight="1">
      <c r="A48" s="23" t="s">
        <v>113</v>
      </c>
      <c r="B48" s="8" t="s">
        <v>114</v>
      </c>
      <c r="C48" s="8">
        <v>200</v>
      </c>
      <c r="D48" s="21">
        <f>353572+41000-264232+579078.36+1916900+500000+568385.02+71958.08</f>
        <v>3766661.46</v>
      </c>
    </row>
    <row r="49" spans="1:4" ht="141.75" customHeight="1">
      <c r="A49" s="20" t="s">
        <v>115</v>
      </c>
      <c r="B49" s="8" t="s">
        <v>116</v>
      </c>
      <c r="C49" s="8">
        <v>200</v>
      </c>
      <c r="D49" s="21">
        <f>300000-146050</f>
        <v>153950</v>
      </c>
    </row>
    <row r="50" spans="1:4" ht="270" customHeight="1">
      <c r="A50" s="20" t="s">
        <v>121</v>
      </c>
      <c r="B50" s="8" t="s">
        <v>122</v>
      </c>
      <c r="C50" s="8">
        <v>800</v>
      </c>
      <c r="D50" s="21">
        <f>300000+27227.23+191461.68</f>
        <v>518688.91</v>
      </c>
    </row>
    <row r="51" spans="1:4" ht="81.75" customHeight="1">
      <c r="A51" s="20" t="s">
        <v>245</v>
      </c>
      <c r="B51" s="8" t="s">
        <v>244</v>
      </c>
      <c r="C51" s="8">
        <v>200</v>
      </c>
      <c r="D51" s="21">
        <f>8099100.17-110958.08</f>
        <v>7988142.09</v>
      </c>
    </row>
    <row r="52" spans="1:4" s="25" customFormat="1" ht="40.5" customHeight="1">
      <c r="A52" s="11" t="s">
        <v>38</v>
      </c>
      <c r="B52" s="12" t="s">
        <v>7</v>
      </c>
      <c r="C52" s="24"/>
      <c r="D52" s="13">
        <f>D53</f>
        <v>20106496.710000005</v>
      </c>
    </row>
    <row r="53" spans="1:4" s="19" customFormat="1" ht="56.25">
      <c r="A53" s="22" t="s">
        <v>35</v>
      </c>
      <c r="B53" s="17" t="s">
        <v>8</v>
      </c>
      <c r="C53" s="17"/>
      <c r="D53" s="18">
        <f>SUM(D54:E71)</f>
        <v>20106496.710000005</v>
      </c>
    </row>
    <row r="54" spans="1:4" ht="117" customHeight="1">
      <c r="A54" s="23" t="s">
        <v>79</v>
      </c>
      <c r="B54" s="8" t="s">
        <v>58</v>
      </c>
      <c r="C54" s="8">
        <v>200</v>
      </c>
      <c r="D54" s="21">
        <f>2425948.79-16000+360000+189807.95-21619.49-9621.97</f>
        <v>2928515.28</v>
      </c>
    </row>
    <row r="55" spans="1:4" ht="97.5" customHeight="1">
      <c r="A55" s="23" t="s">
        <v>160</v>
      </c>
      <c r="B55" s="8" t="s">
        <v>159</v>
      </c>
      <c r="C55" s="8">
        <v>200</v>
      </c>
      <c r="D55" s="21">
        <f>1757770.12-76652.4</f>
        <v>1681117.7200000002</v>
      </c>
    </row>
    <row r="56" spans="1:4" ht="96.75" customHeight="1">
      <c r="A56" s="23" t="s">
        <v>106</v>
      </c>
      <c r="B56" s="8" t="s">
        <v>67</v>
      </c>
      <c r="C56" s="8">
        <v>200</v>
      </c>
      <c r="D56" s="21">
        <f>6300000-5850000+300000+153176.6+295000+25000-54558.63</f>
        <v>1168617.9700000002</v>
      </c>
    </row>
    <row r="57" spans="1:4" ht="62.25" customHeight="1">
      <c r="A57" s="23" t="s">
        <v>107</v>
      </c>
      <c r="B57" s="8" t="s">
        <v>68</v>
      </c>
      <c r="C57" s="8">
        <v>200</v>
      </c>
      <c r="D57" s="21">
        <f>141452.59+138000+44879+80000+102364-60000+28498.06</f>
        <v>475193.64999999997</v>
      </c>
    </row>
    <row r="58" spans="1:4" ht="134.25" customHeight="1">
      <c r="A58" s="20" t="s">
        <v>168</v>
      </c>
      <c r="B58" s="8" t="s">
        <v>167</v>
      </c>
      <c r="C58" s="8">
        <v>200</v>
      </c>
      <c r="D58" s="21">
        <f>239800-63000-138000-33400+25000</f>
        <v>30400</v>
      </c>
    </row>
    <row r="59" spans="1:4" ht="79.5" customHeight="1">
      <c r="A59" s="20" t="s">
        <v>131</v>
      </c>
      <c r="B59" s="26" t="s">
        <v>169</v>
      </c>
      <c r="C59" s="8">
        <v>200</v>
      </c>
      <c r="D59" s="21">
        <f>230803+125891.98+15696.57+33552.45+48100-37666</f>
        <v>416378</v>
      </c>
    </row>
    <row r="60" spans="1:4" ht="159.75" customHeight="1">
      <c r="A60" s="20" t="s">
        <v>215</v>
      </c>
      <c r="B60" s="26" t="s">
        <v>214</v>
      </c>
      <c r="C60" s="8">
        <v>200</v>
      </c>
      <c r="D60" s="21">
        <f>21000-1560</f>
        <v>19440</v>
      </c>
    </row>
    <row r="61" spans="1:4" ht="65.25" customHeight="1">
      <c r="A61" s="20" t="s">
        <v>128</v>
      </c>
      <c r="B61" s="8" t="s">
        <v>134</v>
      </c>
      <c r="C61" s="8">
        <v>200</v>
      </c>
      <c r="D61" s="21">
        <f>200000+34966.11+80000+300000-1701.71</f>
        <v>613264.4</v>
      </c>
    </row>
    <row r="62" spans="1:4" ht="97.5" customHeight="1">
      <c r="A62" s="20" t="s">
        <v>186</v>
      </c>
      <c r="B62" s="8" t="s">
        <v>183</v>
      </c>
      <c r="C62" s="8">
        <v>200</v>
      </c>
      <c r="D62" s="21">
        <f>2806302.4+705357.6-75672.62</f>
        <v>3435987.38</v>
      </c>
    </row>
    <row r="63" spans="1:4" ht="97.5" customHeight="1">
      <c r="A63" s="20" t="s">
        <v>189</v>
      </c>
      <c r="B63" s="8" t="s">
        <v>190</v>
      </c>
      <c r="C63" s="8">
        <v>200</v>
      </c>
      <c r="D63" s="21">
        <f>1300000+900000-78221.7</f>
        <v>2121778.3</v>
      </c>
    </row>
    <row r="64" spans="1:4" ht="153.75" customHeight="1">
      <c r="A64" s="20" t="s">
        <v>202</v>
      </c>
      <c r="B64" s="8" t="s">
        <v>191</v>
      </c>
      <c r="C64" s="8">
        <v>200</v>
      </c>
      <c r="D64" s="21">
        <f>650000-3896</f>
        <v>646104</v>
      </c>
    </row>
    <row r="65" spans="1:4" ht="97.5" customHeight="1">
      <c r="A65" s="20" t="s">
        <v>192</v>
      </c>
      <c r="B65" s="8" t="s">
        <v>193</v>
      </c>
      <c r="C65" s="8">
        <v>200</v>
      </c>
      <c r="D65" s="21">
        <f>4300000+554913.3+174705.51</f>
        <v>5029618.81</v>
      </c>
    </row>
    <row r="66" spans="1:4" ht="97.5" customHeight="1">
      <c r="A66" s="20" t="s">
        <v>201</v>
      </c>
      <c r="B66" s="8" t="s">
        <v>194</v>
      </c>
      <c r="C66" s="8">
        <v>400</v>
      </c>
      <c r="D66" s="21">
        <f>269860+59860</f>
        <v>329720</v>
      </c>
    </row>
    <row r="67" spans="1:4" ht="117" customHeight="1">
      <c r="A67" s="20" t="s">
        <v>198</v>
      </c>
      <c r="B67" s="8" t="s">
        <v>197</v>
      </c>
      <c r="C67" s="8">
        <v>200</v>
      </c>
      <c r="D67" s="21">
        <f>218000</f>
        <v>218000</v>
      </c>
    </row>
    <row r="68" spans="1:4" ht="97.5" customHeight="1">
      <c r="A68" s="20" t="s">
        <v>200</v>
      </c>
      <c r="B68" s="8" t="s">
        <v>199</v>
      </c>
      <c r="C68" s="8">
        <v>200</v>
      </c>
      <c r="D68" s="21">
        <f>86000</f>
        <v>86000</v>
      </c>
    </row>
    <row r="69" spans="1:4" ht="126.75" customHeight="1">
      <c r="A69" s="20" t="s">
        <v>291</v>
      </c>
      <c r="B69" s="8" t="s">
        <v>290</v>
      </c>
      <c r="C69" s="8">
        <v>200</v>
      </c>
      <c r="D69" s="21">
        <f>50000</f>
        <v>50000</v>
      </c>
    </row>
    <row r="70" spans="1:4" ht="97.5" customHeight="1">
      <c r="A70" s="20" t="s">
        <v>283</v>
      </c>
      <c r="B70" s="8" t="s">
        <v>279</v>
      </c>
      <c r="C70" s="8">
        <v>200</v>
      </c>
      <c r="D70" s="21">
        <f>158901.6</f>
        <v>158901.6</v>
      </c>
    </row>
    <row r="71" spans="1:4" ht="121.5" customHeight="1">
      <c r="A71" s="20" t="s">
        <v>236</v>
      </c>
      <c r="B71" s="8" t="s">
        <v>243</v>
      </c>
      <c r="C71" s="8">
        <v>400</v>
      </c>
      <c r="D71" s="21">
        <f>811252.33-113792.73</f>
        <v>697459.6</v>
      </c>
    </row>
    <row r="72" spans="1:4" s="15" customFormat="1" ht="58.5" customHeight="1">
      <c r="A72" s="11" t="s">
        <v>74</v>
      </c>
      <c r="B72" s="12" t="s">
        <v>9</v>
      </c>
      <c r="C72" s="12"/>
      <c r="D72" s="13">
        <f>D73+D87</f>
        <v>67119017.72999999</v>
      </c>
    </row>
    <row r="73" spans="1:4" s="25" customFormat="1" ht="56.25">
      <c r="A73" s="22" t="s">
        <v>26</v>
      </c>
      <c r="B73" s="17" t="s">
        <v>10</v>
      </c>
      <c r="C73" s="17"/>
      <c r="D73" s="18">
        <f>SUM(D74:D86)</f>
        <v>63290320.349999994</v>
      </c>
    </row>
    <row r="74" spans="1:4" s="25" customFormat="1" ht="135.75" customHeight="1">
      <c r="A74" s="20" t="s">
        <v>147</v>
      </c>
      <c r="B74" s="8" t="s">
        <v>148</v>
      </c>
      <c r="C74" s="8">
        <v>200</v>
      </c>
      <c r="D74" s="21">
        <f>1900892.62-1893789.48+605945+58957.99+204812.42+30000-89752.07+753842.4-75573.25</f>
        <v>1495335.6300000004</v>
      </c>
    </row>
    <row r="75" spans="1:4" s="25" customFormat="1" ht="134.25" customHeight="1">
      <c r="A75" s="20" t="s">
        <v>162</v>
      </c>
      <c r="B75" s="8" t="s">
        <v>161</v>
      </c>
      <c r="C75" s="8">
        <v>200</v>
      </c>
      <c r="D75" s="21">
        <f>328000+134000+30000+100000+600000+328333.33+120000-27960+40000</f>
        <v>1652373.33</v>
      </c>
    </row>
    <row r="76" spans="1:4" s="25" customFormat="1" ht="99" customHeight="1">
      <c r="A76" s="20" t="s">
        <v>164</v>
      </c>
      <c r="B76" s="8" t="s">
        <v>163</v>
      </c>
      <c r="C76" s="8">
        <v>200</v>
      </c>
      <c r="D76" s="21">
        <f>1169822.9+817677.1+192500-677.1</f>
        <v>2179322.9</v>
      </c>
    </row>
    <row r="77" spans="1:4" s="25" customFormat="1" ht="99" customHeight="1">
      <c r="A77" s="20" t="s">
        <v>151</v>
      </c>
      <c r="B77" s="8" t="s">
        <v>152</v>
      </c>
      <c r="C77" s="8">
        <v>200</v>
      </c>
      <c r="D77" s="21">
        <f>80000+654800-431800</f>
        <v>303000</v>
      </c>
    </row>
    <row r="78" spans="1:4" ht="289.5" customHeight="1">
      <c r="A78" s="20" t="s">
        <v>135</v>
      </c>
      <c r="B78" s="8" t="s">
        <v>136</v>
      </c>
      <c r="C78" s="8">
        <v>200</v>
      </c>
      <c r="D78" s="21">
        <f>11950000-2806302.4-705357.6+201578.54+74276.69-74276.69+220831.2</f>
        <v>8860749.739999998</v>
      </c>
    </row>
    <row r="79" spans="1:4" ht="97.5" customHeight="1">
      <c r="A79" s="20" t="s">
        <v>145</v>
      </c>
      <c r="B79" s="8" t="s">
        <v>146</v>
      </c>
      <c r="C79" s="8">
        <v>200</v>
      </c>
      <c r="D79" s="21">
        <f>1777965.33+23958.67+175834.18-175834.18</f>
        <v>1801924</v>
      </c>
    </row>
    <row r="80" spans="1:4" ht="119.25" customHeight="1">
      <c r="A80" s="20" t="s">
        <v>280</v>
      </c>
      <c r="B80" s="8" t="s">
        <v>165</v>
      </c>
      <c r="C80" s="8">
        <v>400</v>
      </c>
      <c r="D80" s="21">
        <f>1738086+307043</f>
        <v>2045129</v>
      </c>
    </row>
    <row r="81" spans="1:4" ht="100.5" customHeight="1">
      <c r="A81" s="20" t="s">
        <v>252</v>
      </c>
      <c r="B81" s="8" t="s">
        <v>166</v>
      </c>
      <c r="C81" s="8">
        <v>400</v>
      </c>
      <c r="D81" s="21">
        <f>3743650-605815.25-432463.61</f>
        <v>2705371.14</v>
      </c>
    </row>
    <row r="82" spans="1:4" ht="138.75" customHeight="1">
      <c r="A82" s="20" t="s">
        <v>217</v>
      </c>
      <c r="B82" s="8" t="s">
        <v>216</v>
      </c>
      <c r="C82" s="8">
        <v>200</v>
      </c>
      <c r="D82" s="21">
        <f>150000</f>
        <v>150000</v>
      </c>
    </row>
    <row r="83" spans="1:4" ht="99.75" customHeight="1">
      <c r="A83" s="20" t="s">
        <v>251</v>
      </c>
      <c r="B83" s="8" t="s">
        <v>246</v>
      </c>
      <c r="C83" s="8">
        <v>200</v>
      </c>
      <c r="D83" s="21">
        <f>430434-2152.17</f>
        <v>428281.83</v>
      </c>
    </row>
    <row r="84" spans="1:4" ht="120" customHeight="1">
      <c r="A84" s="20" t="s">
        <v>263</v>
      </c>
      <c r="B84" s="8" t="s">
        <v>262</v>
      </c>
      <c r="C84" s="8">
        <v>200</v>
      </c>
      <c r="D84" s="21">
        <f>124532</f>
        <v>124532</v>
      </c>
    </row>
    <row r="85" spans="1:4" ht="155.25" customHeight="1">
      <c r="A85" s="23" t="s">
        <v>127</v>
      </c>
      <c r="B85" s="8" t="s">
        <v>126</v>
      </c>
      <c r="C85" s="8">
        <v>200</v>
      </c>
      <c r="D85" s="21">
        <f>3668511.18</f>
        <v>3668511.18</v>
      </c>
    </row>
    <row r="86" spans="1:4" ht="98.25" customHeight="1">
      <c r="A86" s="23" t="s">
        <v>242</v>
      </c>
      <c r="B86" s="8" t="s">
        <v>241</v>
      </c>
      <c r="C86" s="8">
        <v>200</v>
      </c>
      <c r="D86" s="21">
        <f>37875789.6</f>
        <v>37875789.6</v>
      </c>
    </row>
    <row r="87" spans="1:4" s="19" customFormat="1" ht="60" customHeight="1">
      <c r="A87" s="22" t="s">
        <v>253</v>
      </c>
      <c r="B87" s="17" t="s">
        <v>103</v>
      </c>
      <c r="C87" s="17"/>
      <c r="D87" s="18">
        <f>D88+D89</f>
        <v>3828697.3800000004</v>
      </c>
    </row>
    <row r="88" spans="1:4" s="19" customFormat="1" ht="121.5" customHeight="1">
      <c r="A88" s="23" t="s">
        <v>259</v>
      </c>
      <c r="B88" s="8" t="s">
        <v>258</v>
      </c>
      <c r="C88" s="8">
        <v>200</v>
      </c>
      <c r="D88" s="21">
        <f>3857055.68-3514208.08-28358.3</f>
        <v>314489.3000000001</v>
      </c>
    </row>
    <row r="89" spans="1:4" ht="116.25" customHeight="1">
      <c r="A89" s="23" t="s">
        <v>254</v>
      </c>
      <c r="B89" s="8" t="s">
        <v>255</v>
      </c>
      <c r="C89" s="8">
        <v>200</v>
      </c>
      <c r="D89" s="21">
        <f>3514208.08</f>
        <v>3514208.08</v>
      </c>
    </row>
    <row r="90" spans="1:4" s="15" customFormat="1" ht="60.75" customHeight="1">
      <c r="A90" s="11" t="s">
        <v>75</v>
      </c>
      <c r="B90" s="12" t="s">
        <v>22</v>
      </c>
      <c r="C90" s="12"/>
      <c r="D90" s="13">
        <f>D91</f>
        <v>1034526.8700000001</v>
      </c>
    </row>
    <row r="91" spans="1:4" s="19" customFormat="1" ht="39.75" customHeight="1">
      <c r="A91" s="22" t="s">
        <v>28</v>
      </c>
      <c r="B91" s="17" t="s">
        <v>23</v>
      </c>
      <c r="C91" s="17"/>
      <c r="D91" s="18">
        <f>SUM(D92:D93)</f>
        <v>1034526.8700000001</v>
      </c>
    </row>
    <row r="92" spans="1:4" ht="78" customHeight="1">
      <c r="A92" s="23" t="s">
        <v>39</v>
      </c>
      <c r="B92" s="8" t="s">
        <v>69</v>
      </c>
      <c r="C92" s="8">
        <v>200</v>
      </c>
      <c r="D92" s="21">
        <f>389044+149987.62</f>
        <v>539031.62</v>
      </c>
    </row>
    <row r="93" spans="1:4" ht="77.25" customHeight="1">
      <c r="A93" s="23" t="s">
        <v>133</v>
      </c>
      <c r="B93" s="8" t="s">
        <v>132</v>
      </c>
      <c r="C93" s="8">
        <v>200</v>
      </c>
      <c r="D93" s="21">
        <f>800000-19692.33-284812.42</f>
        <v>495495.25000000006</v>
      </c>
    </row>
    <row r="94" spans="1:4" s="15" customFormat="1" ht="117.75" customHeight="1">
      <c r="A94" s="11" t="s">
        <v>109</v>
      </c>
      <c r="B94" s="12" t="s">
        <v>40</v>
      </c>
      <c r="C94" s="12"/>
      <c r="D94" s="13">
        <f>D95</f>
        <v>2400000</v>
      </c>
    </row>
    <row r="95" spans="1:4" s="19" customFormat="1" ht="60.75" customHeight="1">
      <c r="A95" s="22" t="s">
        <v>42</v>
      </c>
      <c r="B95" s="17" t="s">
        <v>41</v>
      </c>
      <c r="C95" s="17"/>
      <c r="D95" s="18">
        <f>D96</f>
        <v>2400000</v>
      </c>
    </row>
    <row r="96" spans="1:4" ht="116.25" customHeight="1">
      <c r="A96" s="20" t="s">
        <v>108</v>
      </c>
      <c r="B96" s="8" t="s">
        <v>61</v>
      </c>
      <c r="C96" s="8">
        <v>800</v>
      </c>
      <c r="D96" s="21">
        <f>2400000</f>
        <v>2400000</v>
      </c>
    </row>
    <row r="97" spans="1:4" s="25" customFormat="1" ht="60" customHeight="1">
      <c r="A97" s="11" t="s">
        <v>45</v>
      </c>
      <c r="B97" s="12" t="s">
        <v>46</v>
      </c>
      <c r="C97" s="12"/>
      <c r="D97" s="13">
        <f>D98+D101+D103</f>
        <v>783993.81</v>
      </c>
    </row>
    <row r="98" spans="1:4" s="25" customFormat="1" ht="42" customHeight="1">
      <c r="A98" s="22" t="s">
        <v>47</v>
      </c>
      <c r="B98" s="17" t="s">
        <v>43</v>
      </c>
      <c r="C98" s="17"/>
      <c r="D98" s="18">
        <f>SUM(D99:D100)</f>
        <v>124000</v>
      </c>
    </row>
    <row r="99" spans="1:4" ht="80.25" customHeight="1">
      <c r="A99" s="23" t="s">
        <v>187</v>
      </c>
      <c r="B99" s="8" t="s">
        <v>181</v>
      </c>
      <c r="C99" s="8">
        <v>200</v>
      </c>
      <c r="D99" s="21">
        <f>25000+14000</f>
        <v>39000</v>
      </c>
    </row>
    <row r="100" spans="1:4" ht="138" customHeight="1">
      <c r="A100" s="23" t="s">
        <v>188</v>
      </c>
      <c r="B100" s="8" t="s">
        <v>182</v>
      </c>
      <c r="C100" s="8">
        <v>200</v>
      </c>
      <c r="D100" s="21">
        <f>90000-5000</f>
        <v>85000</v>
      </c>
    </row>
    <row r="101" spans="1:4" s="19" customFormat="1" ht="43.5" customHeight="1">
      <c r="A101" s="22" t="s">
        <v>27</v>
      </c>
      <c r="B101" s="17" t="s">
        <v>50</v>
      </c>
      <c r="C101" s="17"/>
      <c r="D101" s="18">
        <f>D102</f>
        <v>60000</v>
      </c>
    </row>
    <row r="102" spans="1:4" ht="96.75" customHeight="1">
      <c r="A102" s="23" t="s">
        <v>44</v>
      </c>
      <c r="B102" s="8" t="s">
        <v>70</v>
      </c>
      <c r="C102" s="8">
        <v>200</v>
      </c>
      <c r="D102" s="21">
        <f>60000</f>
        <v>60000</v>
      </c>
    </row>
    <row r="103" spans="1:4" s="19" customFormat="1" ht="79.5" customHeight="1">
      <c r="A103" s="22" t="s">
        <v>125</v>
      </c>
      <c r="B103" s="17" t="s">
        <v>94</v>
      </c>
      <c r="C103" s="17"/>
      <c r="D103" s="18">
        <f>SUM(D104:D104)</f>
        <v>599993.81</v>
      </c>
    </row>
    <row r="104" spans="1:4" ht="108.75" customHeight="1">
      <c r="A104" s="23" t="s">
        <v>293</v>
      </c>
      <c r="B104" s="8" t="s">
        <v>292</v>
      </c>
      <c r="C104" s="8">
        <v>200</v>
      </c>
      <c r="D104" s="21">
        <f>599993.81</f>
        <v>599993.81</v>
      </c>
    </row>
    <row r="105" spans="1:4" s="25" customFormat="1" ht="117.75" customHeight="1">
      <c r="A105" s="11" t="s">
        <v>85</v>
      </c>
      <c r="B105" s="12" t="s">
        <v>86</v>
      </c>
      <c r="C105" s="12"/>
      <c r="D105" s="13">
        <f>D106</f>
        <v>4197945.93</v>
      </c>
    </row>
    <row r="106" spans="1:4" s="19" customFormat="1" ht="77.25" customHeight="1">
      <c r="A106" s="22" t="s">
        <v>87</v>
      </c>
      <c r="B106" s="17" t="s">
        <v>88</v>
      </c>
      <c r="C106" s="17"/>
      <c r="D106" s="18">
        <f>SUM(D107:D108)</f>
        <v>4197945.93</v>
      </c>
    </row>
    <row r="107" spans="1:4" ht="138.75" customHeight="1">
      <c r="A107" s="20" t="s">
        <v>89</v>
      </c>
      <c r="B107" s="8" t="s">
        <v>90</v>
      </c>
      <c r="C107" s="8">
        <v>100</v>
      </c>
      <c r="D107" s="21">
        <f>3841165.93-21613.27-6527.2+171853.71+12659.36+74088.07</f>
        <v>4071626.5999999996</v>
      </c>
    </row>
    <row r="108" spans="1:4" ht="100.5" customHeight="1">
      <c r="A108" s="23" t="s">
        <v>91</v>
      </c>
      <c r="B108" s="8" t="s">
        <v>90</v>
      </c>
      <c r="C108" s="8">
        <v>200</v>
      </c>
      <c r="D108" s="21">
        <f>125278-23958.67+30000-5000</f>
        <v>126319.33000000002</v>
      </c>
    </row>
    <row r="109" spans="1:4" s="15" customFormat="1" ht="59.25" customHeight="1">
      <c r="A109" s="11" t="s">
        <v>139</v>
      </c>
      <c r="B109" s="12" t="s">
        <v>140</v>
      </c>
      <c r="C109" s="12"/>
      <c r="D109" s="13">
        <f>D110</f>
        <v>340000</v>
      </c>
    </row>
    <row r="110" spans="1:4" s="19" customFormat="1" ht="59.25" customHeight="1">
      <c r="A110" s="22" t="s">
        <v>141</v>
      </c>
      <c r="B110" s="17" t="s">
        <v>142</v>
      </c>
      <c r="C110" s="17"/>
      <c r="D110" s="18">
        <f>D111</f>
        <v>340000</v>
      </c>
    </row>
    <row r="111" spans="1:4" ht="117.75" customHeight="1">
      <c r="A111" s="23" t="s">
        <v>156</v>
      </c>
      <c r="B111" s="8" t="s">
        <v>153</v>
      </c>
      <c r="C111" s="8">
        <v>800</v>
      </c>
      <c r="D111" s="21">
        <f>340000</f>
        <v>340000</v>
      </c>
    </row>
    <row r="112" spans="1:4" s="15" customFormat="1" ht="41.25" customHeight="1">
      <c r="A112" s="11" t="s">
        <v>83</v>
      </c>
      <c r="B112" s="12" t="s">
        <v>11</v>
      </c>
      <c r="C112" s="12"/>
      <c r="D112" s="13">
        <f>D113+D116</f>
        <v>535297</v>
      </c>
    </row>
    <row r="113" spans="1:4" s="15" customFormat="1" ht="95.25" customHeight="1">
      <c r="A113" s="11" t="s">
        <v>84</v>
      </c>
      <c r="B113" s="12" t="s">
        <v>12</v>
      </c>
      <c r="C113" s="12"/>
      <c r="D113" s="13">
        <f>D114</f>
        <v>200000</v>
      </c>
    </row>
    <row r="114" spans="1:4" s="25" customFormat="1" ht="56.25">
      <c r="A114" s="22" t="s">
        <v>51</v>
      </c>
      <c r="B114" s="17" t="s">
        <v>13</v>
      </c>
      <c r="C114" s="17"/>
      <c r="D114" s="18">
        <f>SUM(D115:D115)</f>
        <v>200000</v>
      </c>
    </row>
    <row r="115" spans="1:4" s="15" customFormat="1" ht="117.75" customHeight="1">
      <c r="A115" s="23" t="s">
        <v>124</v>
      </c>
      <c r="B115" s="8" t="s">
        <v>123</v>
      </c>
      <c r="C115" s="8">
        <v>200</v>
      </c>
      <c r="D115" s="21">
        <f>200000</f>
        <v>200000</v>
      </c>
    </row>
    <row r="116" spans="1:4" s="15" customFormat="1" ht="82.5" customHeight="1">
      <c r="A116" s="11" t="s">
        <v>48</v>
      </c>
      <c r="B116" s="12" t="s">
        <v>14</v>
      </c>
      <c r="C116" s="12"/>
      <c r="D116" s="13">
        <f>D117</f>
        <v>335297</v>
      </c>
    </row>
    <row r="117" spans="1:4" s="25" customFormat="1" ht="59.25" customHeight="1">
      <c r="A117" s="22" t="s">
        <v>52</v>
      </c>
      <c r="B117" s="17" t="s">
        <v>15</v>
      </c>
      <c r="C117" s="17"/>
      <c r="D117" s="18">
        <f>SUM(D118:D120)</f>
        <v>335297</v>
      </c>
    </row>
    <row r="118" spans="1:4" ht="99.75" customHeight="1">
      <c r="A118" s="23" t="s">
        <v>49</v>
      </c>
      <c r="B118" s="8" t="s">
        <v>71</v>
      </c>
      <c r="C118" s="8">
        <v>200</v>
      </c>
      <c r="D118" s="21">
        <f>261500-20000+18560</f>
        <v>260060</v>
      </c>
    </row>
    <row r="119" spans="1:4" ht="135.75" customHeight="1">
      <c r="A119" s="23" t="s">
        <v>53</v>
      </c>
      <c r="B119" s="8" t="s">
        <v>72</v>
      </c>
      <c r="C119" s="8">
        <v>200</v>
      </c>
      <c r="D119" s="21">
        <f>12000+1500+16500+150000-130000</f>
        <v>50000</v>
      </c>
    </row>
    <row r="120" spans="1:4" ht="65.25" customHeight="1">
      <c r="A120" s="23" t="s">
        <v>284</v>
      </c>
      <c r="B120" s="8" t="s">
        <v>285</v>
      </c>
      <c r="C120" s="8">
        <v>800</v>
      </c>
      <c r="D120" s="21">
        <f>260000-220000-14763</f>
        <v>25237</v>
      </c>
    </row>
    <row r="121" spans="1:4" s="15" customFormat="1" ht="81" customHeight="1">
      <c r="A121" s="11" t="s">
        <v>137</v>
      </c>
      <c r="B121" s="12" t="s">
        <v>138</v>
      </c>
      <c r="C121" s="12"/>
      <c r="D121" s="13">
        <f>D122</f>
        <v>3693830.7600000002</v>
      </c>
    </row>
    <row r="122" spans="1:4" s="15" customFormat="1" ht="41.25" customHeight="1">
      <c r="A122" s="11" t="s">
        <v>143</v>
      </c>
      <c r="B122" s="12" t="s">
        <v>144</v>
      </c>
      <c r="C122" s="12"/>
      <c r="D122" s="13">
        <f>D123+D131</f>
        <v>3693830.7600000002</v>
      </c>
    </row>
    <row r="123" spans="1:4" s="15" customFormat="1" ht="41.25" customHeight="1">
      <c r="A123" s="22" t="s">
        <v>154</v>
      </c>
      <c r="B123" s="17" t="s">
        <v>155</v>
      </c>
      <c r="C123" s="24"/>
      <c r="D123" s="18">
        <f>SUM(D124:D130)</f>
        <v>519830.76000000007</v>
      </c>
    </row>
    <row r="124" spans="1:4" s="15" customFormat="1" ht="157.5" customHeight="1">
      <c r="A124" s="23" t="s">
        <v>158</v>
      </c>
      <c r="B124" s="8" t="s">
        <v>157</v>
      </c>
      <c r="C124" s="8">
        <v>200</v>
      </c>
      <c r="D124" s="21">
        <f>58840-18080.18+120000-40759.82</f>
        <v>120000</v>
      </c>
    </row>
    <row r="125" spans="1:4" s="15" customFormat="1" ht="81" customHeight="1">
      <c r="A125" s="23" t="s">
        <v>219</v>
      </c>
      <c r="B125" s="8" t="s">
        <v>218</v>
      </c>
      <c r="C125" s="8">
        <v>200</v>
      </c>
      <c r="D125" s="21">
        <f>80000</f>
        <v>80000</v>
      </c>
    </row>
    <row r="126" spans="1:4" s="15" customFormat="1" ht="120" customHeight="1">
      <c r="A126" s="23" t="s">
        <v>227</v>
      </c>
      <c r="B126" s="8" t="s">
        <v>221</v>
      </c>
      <c r="C126" s="8">
        <v>200</v>
      </c>
      <c r="D126" s="21">
        <f>21000-474.8</f>
        <v>20525.2</v>
      </c>
    </row>
    <row r="127" spans="1:4" s="15" customFormat="1" ht="119.25" customHeight="1">
      <c r="A127" s="23" t="s">
        <v>228</v>
      </c>
      <c r="B127" s="8" t="s">
        <v>222</v>
      </c>
      <c r="C127" s="8">
        <v>200</v>
      </c>
      <c r="D127" s="21">
        <f>21000-474.8</f>
        <v>20525.2</v>
      </c>
    </row>
    <row r="128" spans="1:4" s="15" customFormat="1" ht="116.25" customHeight="1">
      <c r="A128" s="23" t="s">
        <v>229</v>
      </c>
      <c r="B128" s="8" t="s">
        <v>223</v>
      </c>
      <c r="C128" s="8">
        <v>200</v>
      </c>
      <c r="D128" s="21">
        <f>21000-474.8</f>
        <v>20525.2</v>
      </c>
    </row>
    <row r="129" spans="1:4" s="15" customFormat="1" ht="138.75" customHeight="1">
      <c r="A129" s="23" t="s">
        <v>238</v>
      </c>
      <c r="B129" s="8" t="s">
        <v>237</v>
      </c>
      <c r="C129" s="8">
        <v>200</v>
      </c>
      <c r="D129" s="21">
        <f>17483.68+18080.18+19100.38+195415.92</f>
        <v>250080.16000000003</v>
      </c>
    </row>
    <row r="130" spans="1:4" s="15" customFormat="1" ht="81" customHeight="1">
      <c r="A130" s="23" t="s">
        <v>282</v>
      </c>
      <c r="B130" s="8" t="s">
        <v>281</v>
      </c>
      <c r="C130" s="8">
        <v>200</v>
      </c>
      <c r="D130" s="21">
        <f>8175</f>
        <v>8175</v>
      </c>
    </row>
    <row r="131" spans="1:4" s="15" customFormat="1" ht="41.25" customHeight="1">
      <c r="A131" s="27" t="s">
        <v>184</v>
      </c>
      <c r="B131" s="17" t="s">
        <v>185</v>
      </c>
      <c r="C131" s="8"/>
      <c r="D131" s="21">
        <f>SUM(D132:D134)</f>
        <v>3174000</v>
      </c>
    </row>
    <row r="132" spans="1:4" s="15" customFormat="1" ht="159.75" customHeight="1">
      <c r="A132" s="28" t="s">
        <v>231</v>
      </c>
      <c r="B132" s="29" t="s">
        <v>230</v>
      </c>
      <c r="C132" s="8">
        <v>200</v>
      </c>
      <c r="D132" s="21">
        <f>1058000</f>
        <v>1058000</v>
      </c>
    </row>
    <row r="133" spans="1:4" s="15" customFormat="1" ht="152.25" customHeight="1">
      <c r="A133" s="28" t="s">
        <v>233</v>
      </c>
      <c r="B133" s="8" t="s">
        <v>232</v>
      </c>
      <c r="C133" s="8">
        <v>200</v>
      </c>
      <c r="D133" s="21">
        <f>1058000</f>
        <v>1058000</v>
      </c>
    </row>
    <row r="134" spans="1:4" s="15" customFormat="1" ht="153.75" customHeight="1">
      <c r="A134" s="28" t="s">
        <v>235</v>
      </c>
      <c r="B134" s="8" t="s">
        <v>234</v>
      </c>
      <c r="C134" s="8">
        <v>200</v>
      </c>
      <c r="D134" s="21">
        <f>1058000</f>
        <v>1058000</v>
      </c>
    </row>
    <row r="135" spans="1:4" s="14" customFormat="1" ht="39.75" customHeight="1">
      <c r="A135" s="30" t="s">
        <v>101</v>
      </c>
      <c r="B135" s="12" t="s">
        <v>102</v>
      </c>
      <c r="C135" s="12"/>
      <c r="D135" s="13">
        <f>D136</f>
        <v>2883343.8899999997</v>
      </c>
    </row>
    <row r="136" spans="1:4" s="15" customFormat="1" ht="58.5" customHeight="1">
      <c r="A136" s="11" t="s">
        <v>29</v>
      </c>
      <c r="B136" s="12" t="s">
        <v>16</v>
      </c>
      <c r="C136" s="12"/>
      <c r="D136" s="13">
        <f>SUM(D137:D141)</f>
        <v>2883343.8899999997</v>
      </c>
    </row>
    <row r="137" spans="1:4" ht="138.75" customHeight="1">
      <c r="A137" s="23" t="s">
        <v>95</v>
      </c>
      <c r="B137" s="8" t="s">
        <v>17</v>
      </c>
      <c r="C137" s="8">
        <v>100</v>
      </c>
      <c r="D137" s="21">
        <f>848121.96+8469.21+2556.38+96654.1-53797</f>
        <v>902004.6499999999</v>
      </c>
    </row>
    <row r="138" spans="1:4" ht="137.25" customHeight="1">
      <c r="A138" s="23" t="s">
        <v>76</v>
      </c>
      <c r="B138" s="8" t="s">
        <v>59</v>
      </c>
      <c r="C138" s="8">
        <v>100</v>
      </c>
      <c r="D138" s="21">
        <f>1243500.8+6444.12+2132.7+30713+9287+11839.49+3546.91+135140+6329.68</f>
        <v>1448933.7</v>
      </c>
    </row>
    <row r="139" spans="1:4" ht="100.5" customHeight="1">
      <c r="A139" s="23" t="s">
        <v>77</v>
      </c>
      <c r="B139" s="8" t="s">
        <v>59</v>
      </c>
      <c r="C139" s="8">
        <v>200</v>
      </c>
      <c r="D139" s="21">
        <f>484466+30415.54-40000+20000-68216.54</f>
        <v>426665</v>
      </c>
    </row>
    <row r="140" spans="1:4" ht="82.5" customHeight="1">
      <c r="A140" s="23" t="s">
        <v>257</v>
      </c>
      <c r="B140" s="8" t="s">
        <v>256</v>
      </c>
      <c r="C140" s="8">
        <v>200</v>
      </c>
      <c r="D140" s="21">
        <f>68216.54</f>
        <v>68216.54</v>
      </c>
    </row>
    <row r="141" spans="1:4" ht="59.25" customHeight="1">
      <c r="A141" s="23" t="s">
        <v>119</v>
      </c>
      <c r="B141" s="8" t="s">
        <v>120</v>
      </c>
      <c r="C141" s="8">
        <v>800</v>
      </c>
      <c r="D141" s="21">
        <f>31840+5684</f>
        <v>37524</v>
      </c>
    </row>
    <row r="142" spans="1:4" s="14" customFormat="1" ht="58.5" customHeight="1">
      <c r="A142" s="11" t="s">
        <v>99</v>
      </c>
      <c r="B142" s="12" t="s">
        <v>100</v>
      </c>
      <c r="C142" s="12"/>
      <c r="D142" s="13">
        <f>D143</f>
        <v>1273630.6900000002</v>
      </c>
    </row>
    <row r="143" spans="1:4" s="25" customFormat="1" ht="80.25" customHeight="1">
      <c r="A143" s="11" t="s">
        <v>30</v>
      </c>
      <c r="B143" s="12" t="s">
        <v>18</v>
      </c>
      <c r="C143" s="24"/>
      <c r="D143" s="13">
        <f>SUM(D144:D165)</f>
        <v>1273630.6900000002</v>
      </c>
    </row>
    <row r="144" spans="1:4" s="25" customFormat="1" ht="138.75" customHeight="1">
      <c r="A144" s="20" t="s">
        <v>195</v>
      </c>
      <c r="B144" s="8" t="s">
        <v>196</v>
      </c>
      <c r="C144" s="8">
        <v>500</v>
      </c>
      <c r="D144" s="21">
        <f>3600</f>
        <v>3600</v>
      </c>
    </row>
    <row r="145" spans="1:4" s="19" customFormat="1" ht="41.25" customHeight="1">
      <c r="A145" s="23" t="s">
        <v>110</v>
      </c>
      <c r="B145" s="8" t="s">
        <v>111</v>
      </c>
      <c r="C145" s="8">
        <v>800</v>
      </c>
      <c r="D145" s="21">
        <f>70000</f>
        <v>70000</v>
      </c>
    </row>
    <row r="146" spans="1:4" s="19" customFormat="1" ht="125.25" customHeight="1">
      <c r="A146" s="23" t="s">
        <v>296</v>
      </c>
      <c r="B146" s="8" t="s">
        <v>295</v>
      </c>
      <c r="C146" s="8">
        <v>600</v>
      </c>
      <c r="D146" s="21">
        <f>17400</f>
        <v>17400</v>
      </c>
    </row>
    <row r="147" spans="1:4" s="19" customFormat="1" ht="79.5" customHeight="1">
      <c r="A147" s="23" t="s">
        <v>248</v>
      </c>
      <c r="B147" s="8" t="s">
        <v>247</v>
      </c>
      <c r="C147" s="8">
        <v>200</v>
      </c>
      <c r="D147" s="21">
        <f>5000</f>
        <v>5000</v>
      </c>
    </row>
    <row r="148" spans="1:4" s="19" customFormat="1" ht="96.75" customHeight="1">
      <c r="A148" s="23" t="s">
        <v>177</v>
      </c>
      <c r="B148" s="8" t="s">
        <v>112</v>
      </c>
      <c r="C148" s="8">
        <v>200</v>
      </c>
      <c r="D148" s="21">
        <f>200000-8795.31-30147.01</f>
        <v>161057.68</v>
      </c>
    </row>
    <row r="149" spans="1:4" s="19" customFormat="1" ht="115.5" customHeight="1">
      <c r="A149" s="23" t="s">
        <v>129</v>
      </c>
      <c r="B149" s="8" t="s">
        <v>130</v>
      </c>
      <c r="C149" s="8">
        <v>200</v>
      </c>
      <c r="D149" s="21">
        <f>65000-30176.6</f>
        <v>34823.4</v>
      </c>
    </row>
    <row r="150" spans="1:4" s="19" customFormat="1" ht="78.75" customHeight="1">
      <c r="A150" s="23" t="s">
        <v>266</v>
      </c>
      <c r="B150" s="8" t="s">
        <v>60</v>
      </c>
      <c r="C150" s="8">
        <v>200</v>
      </c>
      <c r="D150" s="21">
        <f>1138.5</f>
        <v>1138.5</v>
      </c>
    </row>
    <row r="151" spans="1:4" ht="78.75" customHeight="1">
      <c r="A151" s="23" t="s">
        <v>78</v>
      </c>
      <c r="B151" s="8" t="s">
        <v>60</v>
      </c>
      <c r="C151" s="8">
        <v>300</v>
      </c>
      <c r="D151" s="21">
        <f>248536.2+8795.31</f>
        <v>257331.51</v>
      </c>
    </row>
    <row r="152" spans="1:4" ht="119.25" customHeight="1">
      <c r="A152" s="23" t="s">
        <v>240</v>
      </c>
      <c r="B152" s="8" t="s">
        <v>239</v>
      </c>
      <c r="C152" s="8">
        <v>300</v>
      </c>
      <c r="D152" s="21">
        <v>40000</v>
      </c>
    </row>
    <row r="153" spans="1:4" ht="195.75" customHeight="1">
      <c r="A153" s="23" t="s">
        <v>225</v>
      </c>
      <c r="B153" s="8" t="s">
        <v>224</v>
      </c>
      <c r="C153" s="8">
        <v>200</v>
      </c>
      <c r="D153" s="21">
        <v>99097.64</v>
      </c>
    </row>
    <row r="154" spans="1:4" ht="165" customHeight="1">
      <c r="A154" s="23" t="s">
        <v>226</v>
      </c>
      <c r="B154" s="8" t="s">
        <v>224</v>
      </c>
      <c r="C154" s="8">
        <v>800</v>
      </c>
      <c r="D154" s="21">
        <v>1586.47</v>
      </c>
    </row>
    <row r="155" spans="1:4" ht="105.75" customHeight="1">
      <c r="A155" s="23" t="s">
        <v>261</v>
      </c>
      <c r="B155" s="8" t="s">
        <v>260</v>
      </c>
      <c r="C155" s="8">
        <v>800</v>
      </c>
      <c r="D155" s="21">
        <f>35713.32</f>
        <v>35713.32</v>
      </c>
    </row>
    <row r="156" spans="1:4" ht="99" customHeight="1">
      <c r="A156" s="23" t="s">
        <v>265</v>
      </c>
      <c r="B156" s="8" t="s">
        <v>264</v>
      </c>
      <c r="C156" s="8">
        <v>800</v>
      </c>
      <c r="D156" s="21">
        <f>50000</f>
        <v>50000</v>
      </c>
    </row>
    <row r="157" spans="1:4" ht="213" customHeight="1">
      <c r="A157" s="23" t="s">
        <v>278</v>
      </c>
      <c r="B157" s="8" t="s">
        <v>267</v>
      </c>
      <c r="C157" s="8">
        <v>200</v>
      </c>
      <c r="D157" s="21">
        <f>27666.89</f>
        <v>27666.89</v>
      </c>
    </row>
    <row r="158" spans="1:4" ht="186" customHeight="1">
      <c r="A158" s="23" t="s">
        <v>268</v>
      </c>
      <c r="B158" s="8" t="s">
        <v>267</v>
      </c>
      <c r="C158" s="8">
        <v>800</v>
      </c>
      <c r="D158" s="21">
        <f>29666.89-27666.89</f>
        <v>2000</v>
      </c>
    </row>
    <row r="159" spans="1:4" ht="78" customHeight="1">
      <c r="A159" s="23" t="s">
        <v>269</v>
      </c>
      <c r="B159" s="31" t="s">
        <v>270</v>
      </c>
      <c r="C159" s="8">
        <v>800</v>
      </c>
      <c r="D159" s="21">
        <f>30000</f>
        <v>30000</v>
      </c>
    </row>
    <row r="160" spans="1:4" ht="176.25" customHeight="1">
      <c r="A160" s="23" t="s">
        <v>277</v>
      </c>
      <c r="B160" s="31" t="s">
        <v>271</v>
      </c>
      <c r="C160" s="8">
        <v>800</v>
      </c>
      <c r="D160" s="21">
        <f>261687.25</f>
        <v>261687.25</v>
      </c>
    </row>
    <row r="161" spans="1:4" ht="136.5" customHeight="1">
      <c r="A161" s="23" t="s">
        <v>273</v>
      </c>
      <c r="B161" s="31" t="s">
        <v>272</v>
      </c>
      <c r="C161" s="8">
        <v>200</v>
      </c>
      <c r="D161" s="21">
        <f>79199.61</f>
        <v>79199.61</v>
      </c>
    </row>
    <row r="162" spans="1:4" ht="120" customHeight="1">
      <c r="A162" s="23" t="s">
        <v>274</v>
      </c>
      <c r="B162" s="32" t="s">
        <v>276</v>
      </c>
      <c r="C162" s="8">
        <v>200</v>
      </c>
      <c r="D162" s="21">
        <f>31078.69</f>
        <v>31078.69</v>
      </c>
    </row>
    <row r="163" spans="1:4" ht="84.75" customHeight="1">
      <c r="A163" s="23" t="s">
        <v>275</v>
      </c>
      <c r="B163" s="32" t="s">
        <v>276</v>
      </c>
      <c r="C163" s="8">
        <v>800</v>
      </c>
      <c r="D163" s="21">
        <f>9249.73</f>
        <v>9249.73</v>
      </c>
    </row>
    <row r="164" spans="1:4" ht="39" customHeight="1">
      <c r="A164" s="23" t="s">
        <v>287</v>
      </c>
      <c r="B164" s="32" t="s">
        <v>286</v>
      </c>
      <c r="C164" s="8">
        <v>800</v>
      </c>
      <c r="D164" s="21">
        <f>6000</f>
        <v>6000</v>
      </c>
    </row>
    <row r="165" spans="1:4" ht="103.5" customHeight="1">
      <c r="A165" s="23" t="s">
        <v>298</v>
      </c>
      <c r="B165" s="32" t="s">
        <v>297</v>
      </c>
      <c r="C165" s="8">
        <v>800</v>
      </c>
      <c r="D165" s="21">
        <v>50000</v>
      </c>
    </row>
    <row r="166" spans="1:4" s="14" customFormat="1" ht="32.25" customHeight="1">
      <c r="A166" s="41" t="s">
        <v>178</v>
      </c>
      <c r="B166" s="41"/>
      <c r="C166" s="41"/>
      <c r="D166" s="13">
        <f>D24+D42+D112+D135+D142+D121</f>
        <v>160558394.52999997</v>
      </c>
    </row>
    <row r="167" ht="18.75">
      <c r="D167" s="34" t="s">
        <v>205</v>
      </c>
    </row>
    <row r="168" spans="2:4" s="15" customFormat="1" ht="18.75">
      <c r="B168" s="35"/>
      <c r="C168" s="36"/>
      <c r="D168" s="37"/>
    </row>
    <row r="171" spans="1:4" s="15" customFormat="1" ht="18.75">
      <c r="A171" s="38"/>
      <c r="B171" s="35"/>
      <c r="C171" s="36"/>
      <c r="D171" s="37"/>
    </row>
    <row r="172" spans="1:4" s="15" customFormat="1" ht="18.75">
      <c r="A172" s="39"/>
      <c r="B172" s="35"/>
      <c r="C172" s="36"/>
      <c r="D172" s="37"/>
    </row>
    <row r="173" ht="18.75">
      <c r="D173" s="37"/>
    </row>
  </sheetData>
  <sheetProtection/>
  <mergeCells count="19">
    <mergeCell ref="A7:E7"/>
    <mergeCell ref="A8:E8"/>
    <mergeCell ref="A9:D9"/>
    <mergeCell ref="A10:D10"/>
    <mergeCell ref="A1:E1"/>
    <mergeCell ref="A2:E2"/>
    <mergeCell ref="A3:E3"/>
    <mergeCell ref="A4:E4"/>
    <mergeCell ref="A5:E5"/>
    <mergeCell ref="A6:E6"/>
    <mergeCell ref="A166:C166"/>
    <mergeCell ref="A11:D11"/>
    <mergeCell ref="A12:D12"/>
    <mergeCell ref="A13:D13"/>
    <mergeCell ref="A14:D14"/>
    <mergeCell ref="A15:D15"/>
    <mergeCell ref="A16:D16"/>
    <mergeCell ref="A17:D17"/>
    <mergeCell ref="A20:D20"/>
  </mergeCells>
  <printOptions/>
  <pageMargins left="0.984251968503937" right="0.1968503937007874" top="0.3937007874015748" bottom="0.3937007874015748" header="0" footer="0"/>
  <pageSetup fitToHeight="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2022-11-18T10:36:55Z</dcterms:modified>
  <cp:category/>
  <cp:version/>
  <cp:contentType/>
  <cp:contentStatus/>
</cp:coreProperties>
</file>